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embeddings/oleObject8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mbeddings/oleObject9.bin" ContentType="application/vnd.openxmlformats-officedocument.oleObject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mbeddings/oleObject5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735" activeTab="3"/>
  </bookViews>
  <sheets>
    <sheet name="Glance-SOP" sheetId="16" r:id="rId1"/>
    <sheet name="Sheet2" sheetId="23" state="hidden" r:id="rId2"/>
    <sheet name="REVENUE DATA -SOP" sheetId="17" r:id="rId3"/>
    <sheet name="Financial Data -SOP" sheetId="18" r:id="rId4"/>
    <sheet name="LT-SOP-12 Month" sheetId="21" state="hidden" r:id="rId5"/>
    <sheet name="HT-SOP-12 Month" sheetId="22" state="hidden" r:id="rId6"/>
    <sheet name="Sales" sheetId="6" state="hidden" r:id="rId7"/>
    <sheet name="LT-SOP" sheetId="19" state="hidden" r:id="rId8"/>
    <sheet name="HT-SOP" sheetId="20" state="hidden" r:id="rId9"/>
    <sheet name="AT&amp;C LOSS" sheetId="14" state="hidden" r:id="rId10"/>
    <sheet name="31.12.2023" sheetId="1" state="hidden" r:id="rId11"/>
    <sheet name="P&amp;L" sheetId="4" state="hidden" r:id="rId12"/>
    <sheet name="PP 22-23" sheetId="3" state="hidden" r:id="rId13"/>
    <sheet name="DSM upto 10.07" sheetId="11" state="hidden" r:id="rId14"/>
    <sheet name="subsidy allocation" sheetId="7" state="hidden" r:id="rId15"/>
    <sheet name="DSM 4.9.22" sheetId="13" state="hidden" r:id="rId16"/>
    <sheet name="subsidy in P&amp;L" sheetId="9" state="hidden" r:id="rId17"/>
    <sheet name="SLDC Monthly Losses" sheetId="15" state="hidden" r:id="rId18"/>
    <sheet name="TB Dt.01.02.2023" sheetId="2" state="hidden" r:id="rId19"/>
    <sheet name="Annex-A" sheetId="12" state="hidden" r:id="rId20"/>
    <sheet name="PP unit " sheetId="8" state="hidden" r:id="rId21"/>
    <sheet name="DSM upto 3.7.22" sheetId="5" state="hidden" r:id="rId22"/>
    <sheet name="Sheet1" sheetId="10" state="hidden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>#REF!</definedName>
    <definedName name="\b">#REF!</definedName>
    <definedName name="___INDEX_SHEET___ASAP_Utilities" localSheetId="3">#REF!</definedName>
    <definedName name="___INDEX_SHEET___ASAP_Utilities" localSheetId="0">#REF!</definedName>
    <definedName name="___INDEX_SHEET___ASAP_Utilities">#REF!</definedName>
    <definedName name="__123Graph_A" hidden="1">'[1]mpmla wise pp0001'!$A$166:$A$172</definedName>
    <definedName name="__123Graph_B" hidden="1">'[1]mpmla wise pp0001'!#REF!</definedName>
    <definedName name="__123Graph_C" hidden="1">'[1]mpmla wise pp0001'!$B$166:$B$172</definedName>
    <definedName name="__123Graph_D" hidden="1">'[1]mpmla wise pp0001'!#REF!</definedName>
    <definedName name="__123Graph_E" hidden="1">'[1]mpmla wise pp0001'!$C$166:$C$172</definedName>
    <definedName name="__123Graph_F" hidden="1">'[1]mpmla wise pp0001'!#REF!</definedName>
    <definedName name="__123Graph_X" hidden="1">'[1]mpmla wise pp0001'!#REF!</definedName>
    <definedName name="_AA1" localSheetId="19">#REF!</definedName>
    <definedName name="_AA1" localSheetId="9">#REF!</definedName>
    <definedName name="_AA1" localSheetId="3">#REF!</definedName>
    <definedName name="_AA1" localSheetId="0">#REF!</definedName>
    <definedName name="_AA1" localSheetId="11">#REF!</definedName>
    <definedName name="_AA1" localSheetId="17">#REF!</definedName>
    <definedName name="_AA1">#REF!</definedName>
    <definedName name="_AA3">#REF!</definedName>
    <definedName name="_Fill" localSheetId="19" hidden="1">#REF!</definedName>
    <definedName name="_Fill" localSheetId="9" hidden="1">#REF!</definedName>
    <definedName name="_Fill" localSheetId="3" hidden="1">#REF!</definedName>
    <definedName name="_Fill" localSheetId="0" hidden="1">#REF!</definedName>
    <definedName name="_Fill" localSheetId="11" hidden="1">#REF!</definedName>
    <definedName name="_Fill" localSheetId="17" hidden="1">#REF!</definedName>
    <definedName name="_Fill" hidden="1">#REF!</definedName>
    <definedName name="_xlnm._FilterDatabase" localSheetId="3" hidden="1">'Financial Data -SOP'!$G$27:$J$30</definedName>
    <definedName name="_Key1" hidden="1">[1]zpF0001!$E$39:$E$78</definedName>
    <definedName name="_Key2" hidden="1">[1]zpF0001!$O$149:$O$158</definedName>
    <definedName name="_Order1" hidden="1">255</definedName>
    <definedName name="_Order2" hidden="1">255</definedName>
    <definedName name="_Sort" hidden="1">[1]zpF0001!$A$39:$CB$78</definedName>
    <definedName name="a">'[2]shp_T&amp;D_drive'!$A$1:$AE$31</definedName>
    <definedName name="AA" localSheetId="19">#REF!</definedName>
    <definedName name="AA" localSheetId="9">#REF!</definedName>
    <definedName name="AA" localSheetId="3">#REF!</definedName>
    <definedName name="AA" localSheetId="0">#REF!</definedName>
    <definedName name="AA" localSheetId="11">#REF!</definedName>
    <definedName name="AA" localSheetId="2">#REF!</definedName>
    <definedName name="AA" localSheetId="17">#REF!</definedName>
    <definedName name="AA">#REF!</definedName>
    <definedName name="aaa" localSheetId="19">#REF!</definedName>
    <definedName name="aaa" localSheetId="9">#REF!</definedName>
    <definedName name="aaa" localSheetId="3">#REF!</definedName>
    <definedName name="aaa" localSheetId="0">#REF!</definedName>
    <definedName name="aaa" localSheetId="11">#REF!</definedName>
    <definedName name="aaa" localSheetId="17">#REF!</definedName>
    <definedName name="aaa">#REF!</definedName>
    <definedName name="agmeter">#REF!</definedName>
    <definedName name="agri" localSheetId="19">#REF!</definedName>
    <definedName name="AGRI" localSheetId="9">#REF!</definedName>
    <definedName name="AGRI" localSheetId="3">#REF!</definedName>
    <definedName name="AGRI" localSheetId="0">#REF!</definedName>
    <definedName name="AGRI" localSheetId="11">#REF!</definedName>
    <definedName name="AGRI" localSheetId="12">#REF!</definedName>
    <definedName name="AGRI" localSheetId="17">#REF!</definedName>
    <definedName name="AGRI">#REF!</definedName>
    <definedName name="ann" localSheetId="19">#REF!</definedName>
    <definedName name="ann" localSheetId="9">#REF!</definedName>
    <definedName name="ann" localSheetId="11">#REF!</definedName>
    <definedName name="ann" localSheetId="17">#REF!</definedName>
    <definedName name="ann">#REF!</definedName>
    <definedName name="as">'[2]shp_T&amp;D_drive'!$A$1:$AE$31</definedName>
    <definedName name="bageut" localSheetId="19">#REF!</definedName>
    <definedName name="bageut" localSheetId="9">#REF!</definedName>
    <definedName name="bageut" localSheetId="11">#REF!</definedName>
    <definedName name="bageut" localSheetId="17">#REF!</definedName>
    <definedName name="bageut">#REF!</definedName>
    <definedName name="Banks" localSheetId="19">#REF!</definedName>
    <definedName name="Banks" localSheetId="9">#REF!</definedName>
    <definedName name="Banks" localSheetId="11">#REF!</definedName>
    <definedName name="Banks" localSheetId="17">#REF!</definedName>
    <definedName name="Banks">#REF!</definedName>
    <definedName name="Banks_3">"$#REF!.$E$22:$E$35"</definedName>
    <definedName name="Banks_4" localSheetId="19">#REF!</definedName>
    <definedName name="Banks_4" localSheetId="9">#REF!</definedName>
    <definedName name="Banks_4" localSheetId="3">#REF!</definedName>
    <definedName name="Banks_4" localSheetId="0">#REF!</definedName>
    <definedName name="Banks_4" localSheetId="11">#REF!</definedName>
    <definedName name="Banks_4" localSheetId="17">#REF!</definedName>
    <definedName name="Banks_4">#REF!</definedName>
    <definedName name="BB" localSheetId="9" hidden="1">{"'Sheet1'!$A$4386:$N$4591"}</definedName>
    <definedName name="BB" localSheetId="12" hidden="1">{"'Sheet1'!$A$4386:$N$4591"}</definedName>
    <definedName name="BB" localSheetId="17" hidden="1">{"'Sheet1'!$A$4386:$N$4591"}</definedName>
    <definedName name="BB" hidden="1">{"'Sheet1'!$A$4386:$N$4591"}</definedName>
    <definedName name="bh" localSheetId="19">#REF!</definedName>
    <definedName name="bh" localSheetId="9">#REF!</definedName>
    <definedName name="bh" localSheetId="11">#REF!</definedName>
    <definedName name="bh" localSheetId="17">#REF!</definedName>
    <definedName name="bh">#REF!</definedName>
    <definedName name="Blood_Group" localSheetId="19">#REF!</definedName>
    <definedName name="Blood_Group" localSheetId="9">#REF!</definedName>
    <definedName name="Blood_Group" localSheetId="3">#REF!</definedName>
    <definedName name="Blood_Group" localSheetId="0">#REF!</definedName>
    <definedName name="Blood_Group" localSheetId="11">#REF!</definedName>
    <definedName name="Blood_Group" localSheetId="17">#REF!</definedName>
    <definedName name="Blood_Group">#REF!</definedName>
    <definedName name="Blood_Group_3">"$#REF!.$C$2:$C$9"</definedName>
    <definedName name="Blood_Group_4" localSheetId="19">#REF!</definedName>
    <definedName name="Blood_Group_4" localSheetId="9">#REF!</definedName>
    <definedName name="Blood_Group_4" localSheetId="3">#REF!</definedName>
    <definedName name="Blood_Group_4" localSheetId="0">#REF!</definedName>
    <definedName name="Blood_Group_4" localSheetId="11">#REF!</definedName>
    <definedName name="Blood_Group_4" localSheetId="17">#REF!</definedName>
    <definedName name="Blood_Group_4">#REF!</definedName>
    <definedName name="Branch" localSheetId="19">#REF!</definedName>
    <definedName name="Branch" localSheetId="9">#REF!</definedName>
    <definedName name="Branch" localSheetId="3">#REF!</definedName>
    <definedName name="Branch" localSheetId="0">#REF!</definedName>
    <definedName name="Branch" localSheetId="11">#REF!</definedName>
    <definedName name="Branch" localSheetId="17">#REF!</definedName>
    <definedName name="Branch">#REF!</definedName>
    <definedName name="Branch_3">"$#REF!.$E$27:$E$27"</definedName>
    <definedName name="Branch_4" localSheetId="19">#REF!</definedName>
    <definedName name="Branch_4" localSheetId="9">#REF!</definedName>
    <definedName name="Branch_4" localSheetId="3">#REF!</definedName>
    <definedName name="Branch_4" localSheetId="0">#REF!</definedName>
    <definedName name="Branch_4" localSheetId="11">#REF!</definedName>
    <definedName name="Branch_4" localSheetId="17">#REF!</definedName>
    <definedName name="Branch_4">#REF!</definedName>
    <definedName name="budget" localSheetId="19">#REF!</definedName>
    <definedName name="budget" localSheetId="9">#REF!</definedName>
    <definedName name="budget" localSheetId="11">#REF!</definedName>
    <definedName name="budget" localSheetId="17">#REF!</definedName>
    <definedName name="budget">#REF!</definedName>
    <definedName name="buget" localSheetId="19">#REF!</definedName>
    <definedName name="buget" localSheetId="9">#REF!</definedName>
    <definedName name="buget" localSheetId="11">#REF!</definedName>
    <definedName name="buget" localSheetId="17">#REF!</definedName>
    <definedName name="buget">#REF!</definedName>
    <definedName name="Caste" localSheetId="19">#REF!</definedName>
    <definedName name="Caste" localSheetId="9">#REF!</definedName>
    <definedName name="Caste" localSheetId="3">#REF!</definedName>
    <definedName name="Caste" localSheetId="0">#REF!</definedName>
    <definedName name="Caste" localSheetId="11">#REF!</definedName>
    <definedName name="Caste" localSheetId="17">#REF!</definedName>
    <definedName name="Caste">#REF!</definedName>
    <definedName name="Caste_3">"$#REF!.$A$8:$A$12"</definedName>
    <definedName name="Caste_4" localSheetId="19">#REF!</definedName>
    <definedName name="Caste_4" localSheetId="9">#REF!</definedName>
    <definedName name="Caste_4" localSheetId="3">#REF!</definedName>
    <definedName name="Caste_4" localSheetId="0">#REF!</definedName>
    <definedName name="Caste_4" localSheetId="11">#REF!</definedName>
    <definedName name="Caste_4" localSheetId="17">#REF!</definedName>
    <definedName name="Caste_4">#REF!</definedName>
    <definedName name="CLASS" localSheetId="19">#REF!</definedName>
    <definedName name="CLASS" localSheetId="9">#REF!</definedName>
    <definedName name="CLASS" localSheetId="3">#REF!</definedName>
    <definedName name="CLASS" localSheetId="0">#REF!</definedName>
    <definedName name="CLASS" localSheetId="11">#REF!</definedName>
    <definedName name="CLASS" localSheetId="17">#REF!</definedName>
    <definedName name="CLASS">#REF!</definedName>
    <definedName name="CLASS_3">"$#REF!.$B$32:$B$35"</definedName>
    <definedName name="CLASS_4" localSheetId="19">#REF!</definedName>
    <definedName name="CLASS_4" localSheetId="9">#REF!</definedName>
    <definedName name="CLASS_4" localSheetId="3">#REF!</definedName>
    <definedName name="CLASS_4" localSheetId="0">#REF!</definedName>
    <definedName name="CLASS_4" localSheetId="11">#REF!</definedName>
    <definedName name="CLASS_4" localSheetId="17">#REF!</definedName>
    <definedName name="CLASS_4">#REF!</definedName>
    <definedName name="comp" localSheetId="19">#REF!</definedName>
    <definedName name="comp" localSheetId="9">#REF!</definedName>
    <definedName name="comp" localSheetId="3">#REF!</definedName>
    <definedName name="comp" localSheetId="0">#REF!</definedName>
    <definedName name="comp" localSheetId="11">#REF!</definedName>
    <definedName name="comp" localSheetId="17">#REF!</definedName>
    <definedName name="comp">#REF!</definedName>
    <definedName name="d" localSheetId="19">#REF!</definedName>
    <definedName name="d" localSheetId="9">#REF!</definedName>
    <definedName name="d" localSheetId="11">#REF!</definedName>
    <definedName name="d" localSheetId="17">#REF!</definedName>
    <definedName name="d">#REF!</definedName>
    <definedName name="dad" localSheetId="19">#REF!</definedName>
    <definedName name="dad" localSheetId="9">#REF!</definedName>
    <definedName name="dad" localSheetId="11">#REF!</definedName>
    <definedName name="dad" localSheetId="17">#REF!</definedName>
    <definedName name="dad">#REF!</definedName>
    <definedName name="data" localSheetId="19">#REF!</definedName>
    <definedName name="data" localSheetId="9">#REF!</definedName>
    <definedName name="data" localSheetId="3">#REF!</definedName>
    <definedName name="data" localSheetId="0">#REF!</definedName>
    <definedName name="data" localSheetId="11">#REF!</definedName>
    <definedName name="data" localSheetId="17">#REF!</definedName>
    <definedName name="data">#REF!</definedName>
    <definedName name="_xlnm.Database" localSheetId="19" hidden="1">#REF!</definedName>
    <definedName name="_xlnm.Database" localSheetId="9">#REF!</definedName>
    <definedName name="_xlnm.Database" localSheetId="11">#REF!</definedName>
    <definedName name="_xlnm.Database" localSheetId="12">#REF!</definedName>
    <definedName name="_xlnm.Database" localSheetId="17">#REF!</definedName>
    <definedName name="_xlnm.Database">#REF!</definedName>
    <definedName name="Database1" localSheetId="19">#REF!</definedName>
    <definedName name="Database1" localSheetId="9">#REF!</definedName>
    <definedName name="Database1" localSheetId="11">#REF!</definedName>
    <definedName name="Database1" localSheetId="17">#REF!</definedName>
    <definedName name="Database1">#REF!</definedName>
    <definedName name="dd" localSheetId="19" hidden="1">{"'Sheet1'!$A$4386:$N$4591"}</definedName>
    <definedName name="dd" localSheetId="9" hidden="1">{"'Sheet1'!$A$4386:$N$4591"}</definedName>
    <definedName name="dd" localSheetId="17" hidden="1">{"'Sheet1'!$A$4386:$N$4591"}</definedName>
    <definedName name="dd" hidden="1">{"'Sheet1'!$A$4386:$N$4591"}</definedName>
    <definedName name="dep_pm" localSheetId="19">#REF!</definedName>
    <definedName name="dep_pm" localSheetId="9">#REF!</definedName>
    <definedName name="dep_pm" localSheetId="11">#REF!</definedName>
    <definedName name="dep_pm" localSheetId="17">#REF!</definedName>
    <definedName name="dep_pm">#REF!</definedName>
    <definedName name="Departments" localSheetId="19">#REF!</definedName>
    <definedName name="Departments" localSheetId="9">#REF!</definedName>
    <definedName name="Departments" localSheetId="11">#REF!</definedName>
    <definedName name="Departments" localSheetId="17">#REF!</definedName>
    <definedName name="Departments">#REF!</definedName>
    <definedName name="Departments_3">"$#REF!.$A$37:$A$44"</definedName>
    <definedName name="Departments_4" localSheetId="19">#REF!</definedName>
    <definedName name="Departments_4" localSheetId="9">#REF!</definedName>
    <definedName name="Departments_4" localSheetId="3">#REF!</definedName>
    <definedName name="Departments_4" localSheetId="0">#REF!</definedName>
    <definedName name="Departments_4" localSheetId="11">#REF!</definedName>
    <definedName name="Departments_4" localSheetId="17">#REF!</definedName>
    <definedName name="Departments_4">#REF!</definedName>
    <definedName name="depcom_pa" localSheetId="19">#REF!</definedName>
    <definedName name="depcom_pa" localSheetId="9">#REF!</definedName>
    <definedName name="depcom_pa" localSheetId="3">#REF!</definedName>
    <definedName name="depcom_pa" localSheetId="0">#REF!</definedName>
    <definedName name="depcom_pa" localSheetId="11">#REF!</definedName>
    <definedName name="depcom_pa" localSheetId="17">#REF!</definedName>
    <definedName name="depcom_pa">#REF!</definedName>
    <definedName name="depsch_pa" localSheetId="19">#REF!</definedName>
    <definedName name="depsch_pa" localSheetId="9">#REF!</definedName>
    <definedName name="depsch_pa" localSheetId="3">#REF!</definedName>
    <definedName name="depsch_pa" localSheetId="0">#REF!</definedName>
    <definedName name="depsch_pa" localSheetId="11">#REF!</definedName>
    <definedName name="depsch_pa" localSheetId="17">#REF!</definedName>
    <definedName name="depsch_pa">#REF!</definedName>
    <definedName name="depveh_pa" localSheetId="19">#REF!</definedName>
    <definedName name="depveh_pa" localSheetId="9">#REF!</definedName>
    <definedName name="depveh_pa" localSheetId="11">#REF!</definedName>
    <definedName name="depveh_pa" localSheetId="17">#REF!</definedName>
    <definedName name="depveh_pa">#REF!</definedName>
    <definedName name="Designation" localSheetId="19">#REF!</definedName>
    <definedName name="Designation" localSheetId="9">#REF!</definedName>
    <definedName name="Designation" localSheetId="11">#REF!</definedName>
    <definedName name="Designation" localSheetId="17">#REF!</definedName>
    <definedName name="Designation">#REF!</definedName>
    <definedName name="Designation_3">"$#REF!.$F$2:$F$396"</definedName>
    <definedName name="Designation_4" localSheetId="19">#REF!</definedName>
    <definedName name="Designation_4" localSheetId="9">#REF!</definedName>
    <definedName name="Designation_4" localSheetId="3">#REF!</definedName>
    <definedName name="Designation_4" localSheetId="0">#REF!</definedName>
    <definedName name="Designation_4" localSheetId="11">#REF!</definedName>
    <definedName name="Designation_4" localSheetId="17">#REF!</definedName>
    <definedName name="Designation_4">#REF!</definedName>
    <definedName name="Disability" localSheetId="19">#REF!</definedName>
    <definedName name="Disability" localSheetId="9">#REF!</definedName>
    <definedName name="Disability" localSheetId="3">#REF!</definedName>
    <definedName name="Disability" localSheetId="0">#REF!</definedName>
    <definedName name="Disability" localSheetId="11">#REF!</definedName>
    <definedName name="Disability" localSheetId="17">#REF!</definedName>
    <definedName name="Disability">#REF!</definedName>
    <definedName name="Disability_3">"$#REF!.$B$8:$B$17"</definedName>
    <definedName name="Disability_4" localSheetId="19">#REF!</definedName>
    <definedName name="Disability_4" localSheetId="9">#REF!</definedName>
    <definedName name="Disability_4" localSheetId="3">#REF!</definedName>
    <definedName name="Disability_4" localSheetId="0">#REF!</definedName>
    <definedName name="Disability_4" localSheetId="11">#REF!</definedName>
    <definedName name="Disability_4" localSheetId="17">#REF!</definedName>
    <definedName name="Disability_4">#REF!</definedName>
    <definedName name="Disability_perc" localSheetId="19">#REF!</definedName>
    <definedName name="Disability_perc" localSheetId="9">#REF!</definedName>
    <definedName name="Disability_perc" localSheetId="3">#REF!</definedName>
    <definedName name="Disability_perc" localSheetId="0">#REF!</definedName>
    <definedName name="Disability_perc" localSheetId="11">#REF!</definedName>
    <definedName name="Disability_perc" localSheetId="17">#REF!</definedName>
    <definedName name="Disability_perc">#REF!</definedName>
    <definedName name="Disability_perc_3">"$#REF!.$B$20:$B$28"</definedName>
    <definedName name="Disability_perc_4" localSheetId="19">#REF!</definedName>
    <definedName name="Disability_perc_4" localSheetId="9">#REF!</definedName>
    <definedName name="Disability_perc_4" localSheetId="3">#REF!</definedName>
    <definedName name="Disability_perc_4" localSheetId="0">#REF!</definedName>
    <definedName name="Disability_perc_4" localSheetId="11">#REF!</definedName>
    <definedName name="Disability_perc_4" localSheetId="17">#REF!</definedName>
    <definedName name="Disability_perc_4">#REF!</definedName>
    <definedName name="Division" localSheetId="19">#REF!</definedName>
    <definedName name="Division" localSheetId="9">#REF!</definedName>
    <definedName name="Division" localSheetId="3">#REF!</definedName>
    <definedName name="Division" localSheetId="0">#REF!</definedName>
    <definedName name="Division" localSheetId="11">#REF!</definedName>
    <definedName name="Division" localSheetId="17">#REF!</definedName>
    <definedName name="Division">#REF!</definedName>
    <definedName name="Division_3">"$#REF!.$G$2:$G$8"</definedName>
    <definedName name="Division_4" localSheetId="19">#REF!</definedName>
    <definedName name="Division_4" localSheetId="9">#REF!</definedName>
    <definedName name="Division_4" localSheetId="3">#REF!</definedName>
    <definedName name="Division_4" localSheetId="0">#REF!</definedName>
    <definedName name="Division_4" localSheetId="11">#REF!</definedName>
    <definedName name="Division_4" localSheetId="17">#REF!</definedName>
    <definedName name="Division_4">#REF!</definedName>
    <definedName name="ed" localSheetId="19">#REF!</definedName>
    <definedName name="ed" localSheetId="9">#REF!</definedName>
    <definedName name="ed" localSheetId="3">#REF!</definedName>
    <definedName name="ed" localSheetId="0">#REF!</definedName>
    <definedName name="ed" localSheetId="11">#REF!</definedName>
    <definedName name="ed" localSheetId="17">#REF!</definedName>
    <definedName name="ed">#REF!</definedName>
    <definedName name="Emp_Type" localSheetId="19">#REF!</definedName>
    <definedName name="Emp_Type" localSheetId="9">#REF!</definedName>
    <definedName name="Emp_Type" localSheetId="3">#REF!</definedName>
    <definedName name="Emp_Type" localSheetId="0">#REF!</definedName>
    <definedName name="Emp_Type" localSheetId="11">#REF!</definedName>
    <definedName name="Emp_Type" localSheetId="17">#REF!</definedName>
    <definedName name="Emp_Type">#REF!</definedName>
    <definedName name="Emp_Type_3">"$#REF!.$B$38:$B$41"</definedName>
    <definedName name="Emp_Type_4" localSheetId="19">#REF!</definedName>
    <definedName name="Emp_Type_4" localSheetId="9">#REF!</definedName>
    <definedName name="Emp_Type_4" localSheetId="3">#REF!</definedName>
    <definedName name="Emp_Type_4" localSheetId="0">#REF!</definedName>
    <definedName name="Emp_Type_4" localSheetId="11">#REF!</definedName>
    <definedName name="Emp_Type_4" localSheetId="17">#REF!</definedName>
    <definedName name="Emp_Type_4">#REF!</definedName>
    <definedName name="Excel_BuiltIn__FilterDatabase_15" localSheetId="19">#REF!</definedName>
    <definedName name="Excel_BuiltIn__FilterDatabase_15" localSheetId="9">#REF!</definedName>
    <definedName name="Excel_BuiltIn__FilterDatabase_15" localSheetId="3">#REF!</definedName>
    <definedName name="Excel_BuiltIn__FilterDatabase_15" localSheetId="0">#REF!</definedName>
    <definedName name="Excel_BuiltIn__FilterDatabase_15" localSheetId="11">#REF!</definedName>
    <definedName name="Excel_BuiltIn__FilterDatabase_15" localSheetId="17">#REF!</definedName>
    <definedName name="Excel_BuiltIn__FilterDatabase_15">#REF!</definedName>
    <definedName name="Excel_BuiltIn__FilterDatabase_15_4" localSheetId="19">#REF!</definedName>
    <definedName name="Excel_BuiltIn__FilterDatabase_15_4" localSheetId="9">#REF!</definedName>
    <definedName name="Excel_BuiltIn__FilterDatabase_15_4" localSheetId="3">#REF!</definedName>
    <definedName name="Excel_BuiltIn__FilterDatabase_15_4" localSheetId="0">#REF!</definedName>
    <definedName name="Excel_BuiltIn__FilterDatabase_15_4" localSheetId="11">#REF!</definedName>
    <definedName name="Excel_BuiltIn__FilterDatabase_15_4" localSheetId="17">#REF!</definedName>
    <definedName name="Excel_BuiltIn__FilterDatabase_15_4">#REF!</definedName>
    <definedName name="Excel_BuiltIn_Print_Area_9" localSheetId="19">#REF!</definedName>
    <definedName name="Excel_BuiltIn_Print_Area_9" localSheetId="9">#REF!</definedName>
    <definedName name="Excel_BuiltIn_Print_Area_9" localSheetId="11">#REF!</definedName>
    <definedName name="Excel_BuiltIn_Print_Area_9" localSheetId="17">#REF!</definedName>
    <definedName name="Excel_BuiltIn_Print_Area_9">#REF!</definedName>
    <definedName name="Excel_BuiltIn_Print_Titles_7" localSheetId="19">#REF!</definedName>
    <definedName name="Excel_BuiltIn_Print_Titles_7" localSheetId="9">#REF!</definedName>
    <definedName name="Excel_BuiltIn_Print_Titles_7" localSheetId="11">#REF!</definedName>
    <definedName name="Excel_BuiltIn_Print_Titles_7" localSheetId="17">#REF!</definedName>
    <definedName name="Excel_BuiltIn_Print_Titles_7">#REF!</definedName>
    <definedName name="Excel_BuiltIn_Print_Titles_9_1" localSheetId="19">#REF!</definedName>
    <definedName name="Excel_BuiltIn_Print_Titles_9_1" localSheetId="9">#REF!</definedName>
    <definedName name="Excel_BuiltIn_Print_Titles_9_1" localSheetId="11">#REF!</definedName>
    <definedName name="Excel_BuiltIn_Print_Titles_9_1" localSheetId="17">#REF!</definedName>
    <definedName name="Excel_BuiltIn_Print_Titles_9_1">#REF!</definedName>
    <definedName name="few" localSheetId="19" hidden="1">{"'Sheet1'!$A$4386:$N$4591"}</definedName>
    <definedName name="few" localSheetId="9" hidden="1">{"'Sheet1'!$A$4386:$N$4591"}</definedName>
    <definedName name="few" localSheetId="17" hidden="1">{"'Sheet1'!$A$4386:$N$4591"}</definedName>
    <definedName name="few" hidden="1">{"'Sheet1'!$A$4386:$N$4591"}</definedName>
    <definedName name="FF_945_956" localSheetId="19">#REF!</definedName>
    <definedName name="FF_945_956" localSheetId="9">#REF!</definedName>
    <definedName name="FF_945_956" localSheetId="11">#REF!</definedName>
    <definedName name="FF_945_956" localSheetId="17">#REF!</definedName>
    <definedName name="FF_945_956">#REF!</definedName>
    <definedName name="FF_967" localSheetId="19">#REF!</definedName>
    <definedName name="FF_967" localSheetId="9">#REF!</definedName>
    <definedName name="FF_967" localSheetId="11">#REF!</definedName>
    <definedName name="FF_967" localSheetId="17">#REF!</definedName>
    <definedName name="FF_967">#REF!</definedName>
    <definedName name="gr_agri" localSheetId="19">#REF!</definedName>
    <definedName name="gr_agri" localSheetId="9">#REF!</definedName>
    <definedName name="gr_agri" localSheetId="11">#REF!</definedName>
    <definedName name="gr_agri" localSheetId="17">#REF!</definedName>
    <definedName name="gr_agri">#REF!</definedName>
    <definedName name="gr_agri1" localSheetId="19">#REF!</definedName>
    <definedName name="gr_agri1" localSheetId="9">#REF!</definedName>
    <definedName name="gr_agri1" localSheetId="11">#REF!</definedName>
    <definedName name="gr_agri1" localSheetId="17">#REF!</definedName>
    <definedName name="gr_agri1">#REF!</definedName>
    <definedName name="gr_dom" localSheetId="19">#REF!</definedName>
    <definedName name="gr_dom" localSheetId="9">#REF!</definedName>
    <definedName name="gr_dom" localSheetId="11">#REF!</definedName>
    <definedName name="gr_dom" localSheetId="17">#REF!</definedName>
    <definedName name="gr_dom">#REF!</definedName>
    <definedName name="gr_iaf" localSheetId="19">#REF!</definedName>
    <definedName name="gr_iaf" localSheetId="9">#REF!</definedName>
    <definedName name="gr_iaf" localSheetId="11">#REF!</definedName>
    <definedName name="gr_iaf" localSheetId="17">#REF!</definedName>
    <definedName name="gr_iaf">#REF!</definedName>
    <definedName name="gr_lip" localSheetId="19">#REF!</definedName>
    <definedName name="gr_lip" localSheetId="9">#REF!</definedName>
    <definedName name="gr_lip" localSheetId="11">#REF!</definedName>
    <definedName name="gr_lip" localSheetId="17">#REF!</definedName>
    <definedName name="gr_lip">#REF!</definedName>
    <definedName name="gr_mlht" localSheetId="19">#REF!</definedName>
    <definedName name="gr_mlht" localSheetId="9">#REF!</definedName>
    <definedName name="gr_mlht" localSheetId="11">#REF!</definedName>
    <definedName name="gr_mlht" localSheetId="17">#REF!</definedName>
    <definedName name="gr_mlht">#REF!</definedName>
    <definedName name="gr_ndlt1" localSheetId="19">#REF!</definedName>
    <definedName name="gr_ndlt1" localSheetId="9">#REF!</definedName>
    <definedName name="gr_ndlt1" localSheetId="11">#REF!</definedName>
    <definedName name="gr_ndlt1" localSheetId="17">#REF!</definedName>
    <definedName name="gr_ndlt1">#REF!</definedName>
    <definedName name="gr_ndlt2" localSheetId="19">#REF!</definedName>
    <definedName name="gr_ndlt2" localSheetId="9">#REF!</definedName>
    <definedName name="gr_ndlt2" localSheetId="11">#REF!</definedName>
    <definedName name="gr_ndlt2" localSheetId="17">#REF!</definedName>
    <definedName name="gr_ndlt2">#REF!</definedName>
    <definedName name="gr_pl" localSheetId="19">#REF!</definedName>
    <definedName name="gr_pl" localSheetId="9">#REF!</definedName>
    <definedName name="gr_pl" localSheetId="11">#REF!</definedName>
    <definedName name="gr_pl" localSheetId="17">#REF!</definedName>
    <definedName name="gr_pl">#REF!</definedName>
    <definedName name="gr_pw" localSheetId="19">#REF!</definedName>
    <definedName name="gr_pw" localSheetId="9">#REF!</definedName>
    <definedName name="gr_pw" localSheetId="11">#REF!</definedName>
    <definedName name="gr_pw" localSheetId="17">#REF!</definedName>
    <definedName name="gr_pw">#REF!</definedName>
    <definedName name="gr_rail" localSheetId="19">#REF!</definedName>
    <definedName name="gr_rail" localSheetId="9">#REF!</definedName>
    <definedName name="gr_rail" localSheetId="11">#REF!</definedName>
    <definedName name="gr_rail" localSheetId="17">#REF!</definedName>
    <definedName name="gr_rail">#REF!</definedName>
    <definedName name="gr_sip" localSheetId="19">#REF!</definedName>
    <definedName name="gr_sip" localSheetId="9">#REF!</definedName>
    <definedName name="gr_sip" localSheetId="11">#REF!</definedName>
    <definedName name="gr_sip" localSheetId="17">#REF!</definedName>
    <definedName name="gr_sip">#REF!</definedName>
    <definedName name="Grade" localSheetId="19">#REF!</definedName>
    <definedName name="Grade" localSheetId="9">#REF!</definedName>
    <definedName name="Grade" localSheetId="11">#REF!</definedName>
    <definedName name="Grade" localSheetId="17">#REF!</definedName>
    <definedName name="Grade">#REF!</definedName>
    <definedName name="Grade_3">"$#REF!.$E$2:$E$18"</definedName>
    <definedName name="Grade_4" localSheetId="19">#REF!</definedName>
    <definedName name="Grade_4" localSheetId="9">#REF!</definedName>
    <definedName name="Grade_4" localSheetId="3">#REF!</definedName>
    <definedName name="Grade_4" localSheetId="0">#REF!</definedName>
    <definedName name="Grade_4" localSheetId="11">#REF!</definedName>
    <definedName name="Grade_4" localSheetId="17">#REF!</definedName>
    <definedName name="Grade_4">#REF!</definedName>
    <definedName name="hr" localSheetId="3">#REF!</definedName>
    <definedName name="hr" localSheetId="0">#REF!</definedName>
    <definedName name="hr">#REF!</definedName>
    <definedName name="HTML_CodePage" hidden="1">1252</definedName>
    <definedName name="HTML_Control" localSheetId="19" hidden="1">{"'Sheet1'!$A$4386:$N$4591"}</definedName>
    <definedName name="HTML_Control" localSheetId="9" hidden="1">{"'Sheet1'!$A$4386:$N$4591"}</definedName>
    <definedName name="HTML_Control" localSheetId="3" hidden="1">{"'Sheet1'!$A$4386:$N$4591"}</definedName>
    <definedName name="HTML_Control" localSheetId="0" hidden="1">{"'Sheet1'!$A$4386:$N$4591"}</definedName>
    <definedName name="HTML_Control" localSheetId="2" hidden="1">{"'Sheet1'!$A$4386:$N$4591"}</definedName>
    <definedName name="HTML_Control" localSheetId="17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Locations" localSheetId="19">#REF!</definedName>
    <definedName name="Locations" localSheetId="9">#REF!</definedName>
    <definedName name="Locations" localSheetId="3">#REF!</definedName>
    <definedName name="Locations" localSheetId="0">#REF!</definedName>
    <definedName name="Locations" localSheetId="11">#REF!</definedName>
    <definedName name="Locations" localSheetId="17">#REF!</definedName>
    <definedName name="Locations">#REF!</definedName>
    <definedName name="Locations_3">"$#REF!.$G$10:$G$42"</definedName>
    <definedName name="Locations_4" localSheetId="19">#REF!</definedName>
    <definedName name="Locations_4" localSheetId="9">#REF!</definedName>
    <definedName name="Locations_4" localSheetId="3">#REF!</definedName>
    <definedName name="Locations_4" localSheetId="0">#REF!</definedName>
    <definedName name="Locations_4" localSheetId="11">#REF!</definedName>
    <definedName name="Locations_4" localSheetId="17">#REF!</definedName>
    <definedName name="Locations_4">#REF!</definedName>
    <definedName name="Mother_Tongue" localSheetId="19">#REF!</definedName>
    <definedName name="Mother_Tongue" localSheetId="9">#REF!</definedName>
    <definedName name="Mother_Tongue" localSheetId="3">#REF!</definedName>
    <definedName name="Mother_Tongue" localSheetId="0">#REF!</definedName>
    <definedName name="Mother_Tongue" localSheetId="11">#REF!</definedName>
    <definedName name="Mother_Tongue" localSheetId="17">#REF!</definedName>
    <definedName name="Mother_Tongue">#REF!</definedName>
    <definedName name="Mother_Tongue_3">"$#REF!.$A$16:$A$35"</definedName>
    <definedName name="Mother_Tongue_4" localSheetId="19">#REF!</definedName>
    <definedName name="Mother_Tongue_4" localSheetId="9">#REF!</definedName>
    <definedName name="Mother_Tongue_4" localSheetId="3">#REF!</definedName>
    <definedName name="Mother_Tongue_4" localSheetId="0">#REF!</definedName>
    <definedName name="Mother_Tongue_4" localSheetId="11">#REF!</definedName>
    <definedName name="Mother_Tongue_4" localSheetId="17">#REF!</definedName>
    <definedName name="Mother_Tongue_4">#REF!</definedName>
    <definedName name="PA" localSheetId="19">#REF!</definedName>
    <definedName name="PA" localSheetId="9">#REF!</definedName>
    <definedName name="PA" localSheetId="3">#REF!</definedName>
    <definedName name="PA" localSheetId="0">#REF!</definedName>
    <definedName name="PA" localSheetId="11">#REF!</definedName>
    <definedName name="PA" localSheetId="17">#REF!</definedName>
    <definedName name="PA">#REF!</definedName>
    <definedName name="PA_DET" localSheetId="19">#REF!</definedName>
    <definedName name="PA_DET" localSheetId="9">#REF!</definedName>
    <definedName name="PA_DET" localSheetId="3">#REF!</definedName>
    <definedName name="PA_DET" localSheetId="0">#REF!</definedName>
    <definedName name="PA_DET" localSheetId="11">#REF!</definedName>
    <definedName name="PA_DET" localSheetId="17">#REF!</definedName>
    <definedName name="PA_DET">#REF!</definedName>
    <definedName name="PA_SCH3" localSheetId="19">#REF!</definedName>
    <definedName name="PA_SCH3" localSheetId="9">#REF!</definedName>
    <definedName name="PA_SCH3" localSheetId="11">#REF!</definedName>
    <definedName name="PA_SCH3" localSheetId="17">#REF!</definedName>
    <definedName name="PA_SCH3">#REF!</definedName>
    <definedName name="PA_SCH4_5" localSheetId="19">#REF!</definedName>
    <definedName name="PA_SCH4_5" localSheetId="9">#REF!</definedName>
    <definedName name="PA_SCH4_5" localSheetId="11">#REF!</definedName>
    <definedName name="PA_SCH4_5" localSheetId="17">#REF!</definedName>
    <definedName name="PA_SCH4_5">#REF!</definedName>
    <definedName name="pp" localSheetId="9" hidden="1">{"'Sheet1'!$A$4386:$N$4591"}</definedName>
    <definedName name="pp" localSheetId="12" hidden="1">{"'Sheet1'!$A$4386:$N$4591"}</definedName>
    <definedName name="pp" localSheetId="17" hidden="1">{"'Sheet1'!$A$4386:$N$4591"}</definedName>
    <definedName name="pp" hidden="1">{"'Sheet1'!$A$4386:$N$4591"}</definedName>
    <definedName name="_xlnm.Print_Area" localSheetId="10">'31.12.2023'!$A$1:$K$64</definedName>
    <definedName name="_xlnm.Print_Area" localSheetId="19">'Annex-A'!$A$1:$Z$42</definedName>
    <definedName name="_xlnm.Print_Area" localSheetId="9">'AT&amp;C LOSS'!$A$1:$G$24</definedName>
    <definedName name="_xlnm.Print_Area" localSheetId="15">'DSM 4.9.22'!$A$1:$J$38</definedName>
    <definedName name="_xlnm.Print_Area" localSheetId="13">'DSM upto 10.07'!$A$1:$J$28</definedName>
    <definedName name="_xlnm.Print_Area" localSheetId="21">'DSM upto 3.7.22'!$A$1:$J$28</definedName>
    <definedName name="_xlnm.Print_Area" localSheetId="3">'Financial Data -SOP'!$A$1:$J$34</definedName>
    <definedName name="_xlnm.Print_Area" localSheetId="0">'Glance-SOP'!$A$1:$J$85</definedName>
    <definedName name="_xlnm.Print_Area" localSheetId="11">'P&amp;L'!$A$1:$H$62</definedName>
    <definedName name="_xlnm.Print_Area" localSheetId="12">'PP 22-23'!$A$1:$N$34</definedName>
    <definedName name="_xlnm.Print_Area" localSheetId="2">'REVENUE DATA -SOP'!$A$1:$J$120</definedName>
    <definedName name="_xlnm.Print_Area" localSheetId="16">'subsidy in P&amp;L'!$A$1:$F$8</definedName>
    <definedName name="_xlnm.Print_Titles" localSheetId="10">'31.12.2023'!$3:$5</definedName>
    <definedName name="q">'[3]shp_T&amp;D_drive'!$A$1:$AE$31</definedName>
    <definedName name="qwasds" localSheetId="19">#REF!</definedName>
    <definedName name="qwasds" localSheetId="9">#REF!</definedName>
    <definedName name="qwasds" localSheetId="3">#REF!</definedName>
    <definedName name="qwasds" localSheetId="0">#REF!</definedName>
    <definedName name="qwasds" localSheetId="11">#REF!</definedName>
    <definedName name="qwasds" localSheetId="2">#REF!</definedName>
    <definedName name="qwasds" localSheetId="17">#REF!</definedName>
    <definedName name="qwasds">#REF!</definedName>
    <definedName name="qwasdx" localSheetId="19">#REF!</definedName>
    <definedName name="qwasdx" localSheetId="9">#REF!</definedName>
    <definedName name="qwasdx" localSheetId="3">#REF!</definedName>
    <definedName name="qwasdx" localSheetId="0">#REF!</definedName>
    <definedName name="qwasdx" localSheetId="11">#REF!</definedName>
    <definedName name="qwasdx" localSheetId="17">#REF!</definedName>
    <definedName name="qwasdx">#REF!</definedName>
    <definedName name="qwasewd" localSheetId="19">#REF!</definedName>
    <definedName name="qwasewd" localSheetId="9">#REF!</definedName>
    <definedName name="qwasewd" localSheetId="3">#REF!</definedName>
    <definedName name="qwasewd" localSheetId="0">#REF!</definedName>
    <definedName name="qwasewd" localSheetId="11">#REF!</definedName>
    <definedName name="qwasewd" localSheetId="17">#REF!</definedName>
    <definedName name="qwasewd">#REF!</definedName>
    <definedName name="qwedf" localSheetId="19">#REF!</definedName>
    <definedName name="qwedf" localSheetId="9">#REF!</definedName>
    <definedName name="qwedf" localSheetId="11">#REF!</definedName>
    <definedName name="qwedf" localSheetId="17">#REF!</definedName>
    <definedName name="qwedf">#REF!</definedName>
    <definedName name="qwedsxa" localSheetId="19">#REF!</definedName>
    <definedName name="qwedsxa" localSheetId="9">#REF!</definedName>
    <definedName name="qwedsxa" localSheetId="11">#REF!</definedName>
    <definedName name="qwedsxa" localSheetId="17">#REF!</definedName>
    <definedName name="qwedsxa">#REF!</definedName>
    <definedName name="qwesdf" localSheetId="19">#REF!</definedName>
    <definedName name="qwesdf" localSheetId="9">#REF!</definedName>
    <definedName name="qwesdf" localSheetId="11">#REF!</definedName>
    <definedName name="qwesdf" localSheetId="17">#REF!</definedName>
    <definedName name="qwesdf">#REF!</definedName>
    <definedName name="qwsd" localSheetId="19">#REF!</definedName>
    <definedName name="qwsd" localSheetId="9">#REF!</definedName>
    <definedName name="qwsd" localSheetId="11">#REF!</definedName>
    <definedName name="qwsd" localSheetId="17">#REF!</definedName>
    <definedName name="qwsd">#REF!</definedName>
    <definedName name="qwsdscf" localSheetId="19">#REF!</definedName>
    <definedName name="qwsdscf" localSheetId="9">#REF!</definedName>
    <definedName name="qwsdscf" localSheetId="11">#REF!</definedName>
    <definedName name="qwsdscf" localSheetId="17">#REF!</definedName>
    <definedName name="qwsdscf">#REF!</definedName>
    <definedName name="qwsedf" localSheetId="19">#REF!</definedName>
    <definedName name="qwsedf" localSheetId="9">#REF!</definedName>
    <definedName name="qwsedf" localSheetId="11">#REF!</definedName>
    <definedName name="qwsedf" localSheetId="17">#REF!</definedName>
    <definedName name="qwsedf">#REF!</definedName>
    <definedName name="qwseds" localSheetId="19">#REF!</definedName>
    <definedName name="qwseds" localSheetId="9">#REF!</definedName>
    <definedName name="qwseds" localSheetId="11">#REF!</definedName>
    <definedName name="qwseds" localSheetId="17">#REF!</definedName>
    <definedName name="qwseds">#REF!</definedName>
    <definedName name="S_14">#REF!</definedName>
    <definedName name="sad" localSheetId="19">#REF!</definedName>
    <definedName name="sad" localSheetId="9">#REF!</definedName>
    <definedName name="sad" localSheetId="11">#REF!</definedName>
    <definedName name="sad" localSheetId="17">#REF!</definedName>
    <definedName name="sad">#REF!</definedName>
    <definedName name="sadf" localSheetId="19">#REF!</definedName>
    <definedName name="sadf" localSheetId="9">#REF!</definedName>
    <definedName name="sadf" localSheetId="11">#REF!</definedName>
    <definedName name="sadf" localSheetId="17">#REF!</definedName>
    <definedName name="sadf">#REF!</definedName>
    <definedName name="SAS" localSheetId="19">#REF!</definedName>
    <definedName name="SAS" localSheetId="9">#REF!</definedName>
    <definedName name="SAS" localSheetId="11">#REF!</definedName>
    <definedName name="SAS" localSheetId="17">#REF!</definedName>
    <definedName name="SAS">#REF!</definedName>
    <definedName name="sasLLDLKS" localSheetId="19">#REF!</definedName>
    <definedName name="sasLLDLKS" localSheetId="9">#REF!</definedName>
    <definedName name="sasLLDLKS" localSheetId="11">#REF!</definedName>
    <definedName name="sasLLDLKS" localSheetId="17">#REF!</definedName>
    <definedName name="sasLLDLKS">#REF!</definedName>
    <definedName name="Security_Costs_Rate" localSheetId="19">[4]Assumptions!#REF!</definedName>
    <definedName name="Security_Costs_Rate" localSheetId="9">[5]Assumptions!#REF!</definedName>
    <definedName name="Security_Costs_Rate" localSheetId="11">[5]Assumptions!#REF!</definedName>
    <definedName name="Security_Costs_Rate" localSheetId="17">[5]Assumptions!#REF!</definedName>
    <definedName name="Security_Costs_Rate">[5]Assumptions!#REF!</definedName>
    <definedName name="Security_Rate" localSheetId="19">[4]Assumptions!#REF!</definedName>
    <definedName name="Security_Rate" localSheetId="9">[5]Assumptions!#REF!</definedName>
    <definedName name="Security_Rate" localSheetId="11">[5]Assumptions!#REF!</definedName>
    <definedName name="Security_Rate" localSheetId="17">[5]Assumptions!#REF!</definedName>
    <definedName name="Security_Rate">[5]Assumptions!#REF!</definedName>
    <definedName name="ss" localSheetId="19">#REF!</definedName>
    <definedName name="ss" localSheetId="9">#REF!</definedName>
    <definedName name="ss" localSheetId="3">#REF!</definedName>
    <definedName name="ss" localSheetId="0">#REF!</definedName>
    <definedName name="ss" localSheetId="11">#REF!</definedName>
    <definedName name="ss" localSheetId="2">#REF!</definedName>
    <definedName name="ss" localSheetId="17">#REF!</definedName>
    <definedName name="ss">#REF!</definedName>
    <definedName name="SSS" localSheetId="9" hidden="1">{"'Sheet1'!$A$4386:$N$4591"}</definedName>
    <definedName name="SSS" localSheetId="12" hidden="1">{"'Sheet1'!$A$4386:$N$4591"}</definedName>
    <definedName name="SSS" localSheetId="17" hidden="1">{"'Sheet1'!$A$4386:$N$4591"}</definedName>
    <definedName name="SSS" hidden="1">{"'Sheet1'!$A$4386:$N$4591"}</definedName>
    <definedName name="State" localSheetId="19">#REF!</definedName>
    <definedName name="State" localSheetId="9">#REF!</definedName>
    <definedName name="State" localSheetId="3">#REF!</definedName>
    <definedName name="State" localSheetId="0">#REF!</definedName>
    <definedName name="State" localSheetId="11">#REF!</definedName>
    <definedName name="State" localSheetId="17">#REF!</definedName>
    <definedName name="State">#REF!</definedName>
    <definedName name="State_3">"$#REF!.$D$2:$D$38"</definedName>
    <definedName name="State_4" localSheetId="19">#REF!</definedName>
    <definedName name="State_4" localSheetId="9">#REF!</definedName>
    <definedName name="State_4" localSheetId="3">#REF!</definedName>
    <definedName name="State_4" localSheetId="0">#REF!</definedName>
    <definedName name="State_4" localSheetId="11">#REF!</definedName>
    <definedName name="State_4" localSheetId="17">#REF!</definedName>
    <definedName name="State_4">#REF!</definedName>
    <definedName name="swdfc" localSheetId="19">#REF!</definedName>
    <definedName name="swdfc" localSheetId="9">#REF!</definedName>
    <definedName name="swdfc" localSheetId="3">#REF!</definedName>
    <definedName name="swdfc" localSheetId="0">#REF!</definedName>
    <definedName name="swdfc" localSheetId="11">#REF!</definedName>
    <definedName name="swdfc" localSheetId="17">#REF!</definedName>
    <definedName name="swdfc">#REF!</definedName>
    <definedName name="T">'[2]shp_T&amp;D_drive'!$A$1:$AE$31</definedName>
    <definedName name="tf_agri" localSheetId="19">#REF!</definedName>
    <definedName name="tf_agri" localSheetId="9">#REF!</definedName>
    <definedName name="tf_agri" localSheetId="3">#REF!</definedName>
    <definedName name="tf_agri" localSheetId="0">#REF!</definedName>
    <definedName name="tf_agri" localSheetId="11">#REF!</definedName>
    <definedName name="tf_agri" localSheetId="17">#REF!</definedName>
    <definedName name="tf_agri">#REF!</definedName>
    <definedName name="tf_agri1" localSheetId="19">#REF!</definedName>
    <definedName name="tf_agri1" localSheetId="9">#REF!</definedName>
    <definedName name="tf_agri1" localSheetId="11">#REF!</definedName>
    <definedName name="tf_agri1" localSheetId="17">#REF!</definedName>
    <definedName name="tf_agri1">#REF!</definedName>
    <definedName name="tf_dom" localSheetId="19">#REF!</definedName>
    <definedName name="tf_dom" localSheetId="9">#REF!</definedName>
    <definedName name="tf_dom" localSheetId="11">#REF!</definedName>
    <definedName name="tf_dom" localSheetId="17">#REF!</definedName>
    <definedName name="tf_dom">#REF!</definedName>
    <definedName name="tf_iaf" localSheetId="19">#REF!</definedName>
    <definedName name="tf_iaf" localSheetId="9">#REF!</definedName>
    <definedName name="tf_iaf" localSheetId="11">#REF!</definedName>
    <definedName name="tf_iaf" localSheetId="17">#REF!</definedName>
    <definedName name="tf_iaf">#REF!</definedName>
    <definedName name="tf_lip" localSheetId="19">#REF!</definedName>
    <definedName name="tf_lip" localSheetId="9">#REF!</definedName>
    <definedName name="tf_lip" localSheetId="11">#REF!</definedName>
    <definedName name="tf_lip" localSheetId="17">#REF!</definedName>
    <definedName name="tf_lip">#REF!</definedName>
    <definedName name="tf_mlht" localSheetId="19">#REF!</definedName>
    <definedName name="tf_mlht" localSheetId="9">#REF!</definedName>
    <definedName name="tf_mlht" localSheetId="11">#REF!</definedName>
    <definedName name="tf_mlht" localSheetId="17">#REF!</definedName>
    <definedName name="tf_mlht">#REF!</definedName>
    <definedName name="tf_ndlt1" localSheetId="19">#REF!</definedName>
    <definedName name="tf_ndlt1" localSheetId="9">#REF!</definedName>
    <definedName name="tf_ndlt1" localSheetId="11">#REF!</definedName>
    <definedName name="tf_ndlt1" localSheetId="17">#REF!</definedName>
    <definedName name="tf_ndlt1">#REF!</definedName>
    <definedName name="tf_ndlt2" localSheetId="19">#REF!</definedName>
    <definedName name="tf_ndlt2" localSheetId="9">#REF!</definedName>
    <definedName name="tf_ndlt2" localSheetId="11">#REF!</definedName>
    <definedName name="tf_ndlt2" localSheetId="17">#REF!</definedName>
    <definedName name="tf_ndlt2">#REF!</definedName>
    <definedName name="tf_pl" localSheetId="19">#REF!</definedName>
    <definedName name="tf_pl" localSheetId="9">#REF!</definedName>
    <definedName name="tf_pl" localSheetId="11">#REF!</definedName>
    <definedName name="tf_pl" localSheetId="17">#REF!</definedName>
    <definedName name="tf_pl">#REF!</definedName>
    <definedName name="tf_pw" localSheetId="19">#REF!</definedName>
    <definedName name="tf_pw" localSheetId="9">#REF!</definedName>
    <definedName name="tf_pw" localSheetId="11">#REF!</definedName>
    <definedName name="tf_pw" localSheetId="17">#REF!</definedName>
    <definedName name="tf_pw">#REF!</definedName>
    <definedName name="tf_rail" localSheetId="19">#REF!</definedName>
    <definedName name="tf_rail" localSheetId="9">#REF!</definedName>
    <definedName name="tf_rail" localSheetId="11">#REF!</definedName>
    <definedName name="tf_rail" localSheetId="17">#REF!</definedName>
    <definedName name="tf_rail">#REF!</definedName>
    <definedName name="tf_sip" localSheetId="19">#REF!</definedName>
    <definedName name="tf_sip" localSheetId="9">#REF!</definedName>
    <definedName name="tf_sip" localSheetId="11">#REF!</definedName>
    <definedName name="tf_sip" localSheetId="17">#REF!</definedName>
    <definedName name="tf_sip">#REF!</definedName>
    <definedName name="Title" localSheetId="19">#REF!</definedName>
    <definedName name="Title" localSheetId="9">#REF!</definedName>
    <definedName name="Title" localSheetId="11">#REF!</definedName>
    <definedName name="Title" localSheetId="17">#REF!</definedName>
    <definedName name="Title">#REF!</definedName>
    <definedName name="Title_3">"$#REF!.$A$2:$A$6"</definedName>
    <definedName name="Title_4" localSheetId="19">#REF!</definedName>
    <definedName name="Title_4" localSheetId="9">#REF!</definedName>
    <definedName name="Title_4" localSheetId="3">#REF!</definedName>
    <definedName name="Title_4" localSheetId="0">#REF!</definedName>
    <definedName name="Title_4" localSheetId="11">#REF!</definedName>
    <definedName name="Title_4" localSheetId="17">#REF!</definedName>
    <definedName name="Title_4">#REF!</definedName>
    <definedName name="Union" localSheetId="19">#REF!</definedName>
    <definedName name="Union" localSheetId="9">#REF!</definedName>
    <definedName name="Union" localSheetId="3">#REF!</definedName>
    <definedName name="Union" localSheetId="0">#REF!</definedName>
    <definedName name="Union" localSheetId="11">#REF!</definedName>
    <definedName name="Union" localSheetId="17">#REF!</definedName>
    <definedName name="Union">#REF!</definedName>
    <definedName name="Union_3">"$#REF!.$C$12:$C$19"</definedName>
    <definedName name="Union_4" localSheetId="19">#REF!</definedName>
    <definedName name="Union_4" localSheetId="9">#REF!</definedName>
    <definedName name="Union_4" localSheetId="3">#REF!</definedName>
    <definedName name="Union_4" localSheetId="0">#REF!</definedName>
    <definedName name="Union_4" localSheetId="11">#REF!</definedName>
    <definedName name="Union_4" localSheetId="17">#REF!</definedName>
    <definedName name="Union_4">#REF!</definedName>
    <definedName name="we" localSheetId="19">#REF!</definedName>
    <definedName name="we" localSheetId="9">#REF!</definedName>
    <definedName name="we" localSheetId="3">#REF!</definedName>
    <definedName name="we" localSheetId="0">#REF!</definedName>
    <definedName name="we" localSheetId="11">#REF!</definedName>
    <definedName name="we" localSheetId="17">#REF!</definedName>
    <definedName name="we">#REF!</definedName>
    <definedName name="WEEDFC" localSheetId="19">#REF!</definedName>
    <definedName name="WEEDFC" localSheetId="9">#REF!</definedName>
    <definedName name="WEEDFC" localSheetId="3">#REF!</definedName>
    <definedName name="WEEDFC" localSheetId="0">#REF!</definedName>
    <definedName name="WEEDFC" localSheetId="11">#REF!</definedName>
    <definedName name="WEEDFC" localSheetId="17">#REF!</definedName>
    <definedName name="WEEDFC">#REF!</definedName>
    <definedName name="werf" localSheetId="19">#REF!</definedName>
    <definedName name="werf" localSheetId="9">#REF!</definedName>
    <definedName name="werf" localSheetId="11">#REF!</definedName>
    <definedName name="werf" localSheetId="17">#REF!</definedName>
    <definedName name="werf">#REF!</definedName>
    <definedName name="wess" localSheetId="19">#REF!</definedName>
    <definedName name="wess" localSheetId="9">#REF!</definedName>
    <definedName name="wess" localSheetId="11">#REF!</definedName>
    <definedName name="wess" localSheetId="17">#REF!</definedName>
    <definedName name="wess">#REF!</definedName>
    <definedName name="WQ" localSheetId="19">#REF!</definedName>
    <definedName name="WQ" localSheetId="9">#REF!</definedName>
    <definedName name="WQ" localSheetId="11">#REF!</definedName>
    <definedName name="WQ" localSheetId="17">#REF!</definedName>
    <definedName name="WQ">#REF!</definedName>
    <definedName name="WQEDF" localSheetId="19">#REF!</definedName>
    <definedName name="WQEDF" localSheetId="9">#REF!</definedName>
    <definedName name="WQEDF" localSheetId="11">#REF!</definedName>
    <definedName name="WQEDF" localSheetId="17">#REF!</definedName>
    <definedName name="WQEDF">#REF!</definedName>
    <definedName name="WQEE" localSheetId="19">#REF!</definedName>
    <definedName name="WQEE" localSheetId="9">#REF!</definedName>
    <definedName name="WQEE" localSheetId="11">#REF!</definedName>
    <definedName name="WQEE" localSheetId="17">#REF!</definedName>
    <definedName name="WQEE">#REF!</definedName>
    <definedName name="wsds" localSheetId="19">#REF!</definedName>
    <definedName name="wsds" localSheetId="9">#REF!</definedName>
    <definedName name="wsds" localSheetId="11">#REF!</definedName>
    <definedName name="wsds" localSheetId="17">#REF!</definedName>
    <definedName name="wsds">#REF!</definedName>
    <definedName name="wses" localSheetId="19">#REF!</definedName>
    <definedName name="wses" localSheetId="9">#REF!</definedName>
    <definedName name="wses" localSheetId="11">#REF!</definedName>
    <definedName name="wses" localSheetId="17">#REF!</definedName>
    <definedName name="wses">#REF!</definedName>
    <definedName name="X" hidden="1">'[6]mpmla wise pp0001'!$A$166:$A$172</definedName>
    <definedName name="XX" hidden="1">'[6]mpmla wise pp0001'!#REF!</definedName>
    <definedName name="XXXX" hidden="1">'[6]mpmla wise pp0001'!$B$166:$B$172</definedName>
    <definedName name="Yes_no" localSheetId="19">#REF!</definedName>
    <definedName name="Yes_no" localSheetId="9">#REF!</definedName>
    <definedName name="Yes_no" localSheetId="11">#REF!</definedName>
    <definedName name="Yes_no" localSheetId="17">#REF!</definedName>
    <definedName name="Yes_no">#REF!</definedName>
    <definedName name="Yes_no_3">"$#REF!.$B$2:$B$4"</definedName>
  </definedNames>
  <calcPr calcId="124519" iterate="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8"/>
  <c r="E25"/>
  <c r="E26"/>
  <c r="F26"/>
  <c r="F24"/>
  <c r="F27" s="1"/>
  <c r="F9" l="1"/>
  <c r="F8"/>
  <c r="M9"/>
  <c r="E23" i="16" l="1"/>
  <c r="E10"/>
  <c r="E80" l="1"/>
  <c r="E75"/>
  <c r="F52" i="17"/>
  <c r="F30"/>
  <c r="F50"/>
  <c r="F49"/>
  <c r="F48"/>
  <c r="F47"/>
  <c r="F45"/>
  <c r="F43"/>
  <c r="N54"/>
  <c r="N55"/>
  <c r="N50"/>
  <c r="N51"/>
  <c r="N52"/>
  <c r="N53"/>
  <c r="N44"/>
  <c r="N45"/>
  <c r="N46"/>
  <c r="N47"/>
  <c r="N48"/>
  <c r="N49"/>
  <c r="N43"/>
  <c r="E25"/>
  <c r="L34"/>
  <c r="E32"/>
  <c r="E30"/>
  <c r="E29"/>
  <c r="E28"/>
  <c r="E27"/>
  <c r="E23"/>
  <c r="F32"/>
  <c r="F29"/>
  <c r="F28"/>
  <c r="F27"/>
  <c r="E23" i="18"/>
  <c r="E22"/>
  <c r="E20"/>
  <c r="E18"/>
  <c r="E14"/>
  <c r="E9"/>
  <c r="E8"/>
  <c r="F7"/>
  <c r="E7" s="1"/>
  <c r="N11"/>
  <c r="E43" i="17" l="1"/>
  <c r="O54"/>
  <c r="F31" i="16" l="1"/>
  <c r="F11"/>
  <c r="E11" s="1"/>
  <c r="F32" i="23"/>
  <c r="F31"/>
  <c r="F29"/>
  <c r="F28"/>
  <c r="F27"/>
  <c r="L20"/>
  <c r="I20"/>
  <c r="G20"/>
  <c r="B20"/>
  <c r="L19"/>
  <c r="K19"/>
  <c r="F19"/>
  <c r="D19"/>
  <c r="N19" s="1"/>
  <c r="M19" s="1"/>
  <c r="L18"/>
  <c r="K18"/>
  <c r="F18"/>
  <c r="D18"/>
  <c r="N18" s="1"/>
  <c r="M18" s="1"/>
  <c r="L17"/>
  <c r="K17"/>
  <c r="H17"/>
  <c r="F17"/>
  <c r="D17"/>
  <c r="N17" s="1"/>
  <c r="J16"/>
  <c r="I16"/>
  <c r="H16"/>
  <c r="G16"/>
  <c r="E16"/>
  <c r="B16"/>
  <c r="L15"/>
  <c r="K15"/>
  <c r="F15"/>
  <c r="D15"/>
  <c r="N15" s="1"/>
  <c r="M15" s="1"/>
  <c r="L14"/>
  <c r="K14"/>
  <c r="F14"/>
  <c r="D14"/>
  <c r="N14" s="1"/>
  <c r="M14" s="1"/>
  <c r="L13"/>
  <c r="L16" s="1"/>
  <c r="K13"/>
  <c r="H13"/>
  <c r="F13"/>
  <c r="D13"/>
  <c r="N13" s="1"/>
  <c r="I12"/>
  <c r="G12"/>
  <c r="D12"/>
  <c r="B12"/>
  <c r="N11"/>
  <c r="M11" s="1"/>
  <c r="L11"/>
  <c r="F11"/>
  <c r="K11" s="1"/>
  <c r="D11"/>
  <c r="N10"/>
  <c r="M10" s="1"/>
  <c r="L10"/>
  <c r="F10"/>
  <c r="K10" s="1"/>
  <c r="D10"/>
  <c r="N9"/>
  <c r="M9" s="1"/>
  <c r="L9"/>
  <c r="L12" s="1"/>
  <c r="F9"/>
  <c r="K9" s="1"/>
  <c r="D9"/>
  <c r="I8"/>
  <c r="I21" s="1"/>
  <c r="H8"/>
  <c r="G8"/>
  <c r="G21" s="1"/>
  <c r="B8"/>
  <c r="B21" s="1"/>
  <c r="C26" s="1"/>
  <c r="C30" s="1"/>
  <c r="C33" s="1"/>
  <c r="L7"/>
  <c r="K7"/>
  <c r="F7"/>
  <c r="D7"/>
  <c r="N7" s="1"/>
  <c r="M7" s="1"/>
  <c r="L6"/>
  <c r="K6"/>
  <c r="F6"/>
  <c r="D6"/>
  <c r="N6" s="1"/>
  <c r="M6" s="1"/>
  <c r="L5"/>
  <c r="L8" s="1"/>
  <c r="L21" s="1"/>
  <c r="K5"/>
  <c r="F5"/>
  <c r="D5"/>
  <c r="D8" s="1"/>
  <c r="M17" l="1"/>
  <c r="N20"/>
  <c r="N16"/>
  <c r="M13"/>
  <c r="N5"/>
  <c r="D16"/>
  <c r="D21" s="1"/>
  <c r="D20"/>
  <c r="N12"/>
  <c r="D26" l="1"/>
  <c r="C21"/>
  <c r="N8"/>
  <c r="N21" s="1"/>
  <c r="M21" s="1"/>
  <c r="M5"/>
  <c r="F26" l="1"/>
  <c r="D30"/>
  <c r="D33" l="1"/>
  <c r="F33" s="1"/>
  <c r="F30"/>
  <c r="M10" i="19" l="1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N9"/>
  <c r="M9"/>
  <c r="K88" i="17" l="1"/>
  <c r="K86"/>
  <c r="K85"/>
  <c r="K84"/>
  <c r="K83"/>
  <c r="L85"/>
  <c r="L84"/>
  <c r="L83"/>
  <c r="K79"/>
  <c r="L79"/>
  <c r="L93" s="1"/>
  <c r="L86"/>
  <c r="L88"/>
  <c r="K87" l="1"/>
  <c r="K89" s="1"/>
  <c r="K90" s="1"/>
  <c r="L87"/>
  <c r="L89" l="1"/>
  <c r="L90" s="1"/>
  <c r="E9" l="1"/>
  <c r="E107" s="1"/>
  <c r="E79" l="1"/>
  <c r="E52"/>
  <c r="E49"/>
  <c r="E48"/>
  <c r="E47"/>
  <c r="E45"/>
  <c r="K93"/>
  <c r="K96" s="1"/>
  <c r="E50"/>
  <c r="F33" i="16" l="1"/>
  <c r="F30"/>
  <c r="I11" l="1"/>
  <c r="H12" l="1"/>
  <c r="G12"/>
  <c r="F12"/>
  <c r="E12" s="1"/>
  <c r="I12" l="1"/>
  <c r="J12"/>
  <c r="I28" i="17"/>
  <c r="I32"/>
  <c r="E18"/>
  <c r="E14"/>
  <c r="E15"/>
  <c r="E16"/>
  <c r="E13"/>
  <c r="F9"/>
  <c r="F107" s="1"/>
  <c r="H26" i="18"/>
  <c r="H110" i="17"/>
  <c r="G110"/>
  <c r="H82"/>
  <c r="H34" i="16"/>
  <c r="H31"/>
  <c r="G34"/>
  <c r="G31"/>
  <c r="H35" l="1"/>
  <c r="G35"/>
  <c r="G17" i="17"/>
  <c r="G19" s="1"/>
  <c r="H17"/>
  <c r="H19" s="1"/>
  <c r="H10" i="18" l="1"/>
  <c r="G10"/>
  <c r="K7"/>
  <c r="K66" i="16" l="1"/>
  <c r="O25" i="19" l="1"/>
  <c r="O24"/>
  <c r="P23"/>
  <c r="P22"/>
  <c r="O22"/>
  <c r="P21"/>
  <c r="O21"/>
  <c r="P20"/>
  <c r="O20"/>
  <c r="P19"/>
  <c r="O19"/>
  <c r="P18"/>
  <c r="O18"/>
  <c r="P17"/>
  <c r="P16"/>
  <c r="O16"/>
  <c r="P15"/>
  <c r="O15"/>
  <c r="P14"/>
  <c r="P13"/>
  <c r="P12"/>
  <c r="O12"/>
  <c r="K100" i="17" s="1"/>
  <c r="P11" i="19"/>
  <c r="O11"/>
  <c r="P10"/>
  <c r="P9"/>
  <c r="K99" i="17" l="1"/>
  <c r="E99" s="1"/>
  <c r="F99" s="1"/>
  <c r="O10" i="19"/>
  <c r="K98" i="17" s="1"/>
  <c r="E98" s="1"/>
  <c r="F98" s="1"/>
  <c r="O14" i="19"/>
  <c r="O9"/>
  <c r="K97" i="17" s="1"/>
  <c r="O13" i="19"/>
  <c r="K102" i="17" s="1"/>
  <c r="E102" s="1"/>
  <c r="F102" s="1"/>
  <c r="O17" i="19"/>
  <c r="O23"/>
  <c r="E100" i="17"/>
  <c r="F100" s="1"/>
  <c r="K101" l="1"/>
  <c r="K103" s="1"/>
  <c r="K104" s="1"/>
  <c r="E97"/>
  <c r="F97" s="1"/>
  <c r="F66" i="16"/>
  <c r="E66"/>
  <c r="F88" i="17" l="1"/>
  <c r="F85"/>
  <c r="F84"/>
  <c r="F83"/>
  <c r="F86" l="1"/>
  <c r="F79"/>
  <c r="F82" s="1"/>
  <c r="F18" i="9"/>
  <c r="F19"/>
  <c r="F20"/>
  <c r="C21"/>
  <c r="C23" s="1"/>
  <c r="B21"/>
  <c r="B23" s="1"/>
  <c r="E21"/>
  <c r="E23" s="1"/>
  <c r="D17"/>
  <c r="D21" s="1"/>
  <c r="D23" s="1"/>
  <c r="F11"/>
  <c r="F17" l="1"/>
  <c r="F21" s="1"/>
  <c r="F23" s="1"/>
  <c r="F5"/>
  <c r="F6"/>
  <c r="F4"/>
  <c r="G18" i="2"/>
  <c r="G10"/>
  <c r="G9"/>
  <c r="G11" s="1"/>
  <c r="G12" s="1"/>
  <c r="E86" i="17" l="1"/>
  <c r="J30" i="18" l="1"/>
  <c r="I30"/>
  <c r="I28"/>
  <c r="L27"/>
  <c r="K27"/>
  <c r="H16"/>
  <c r="H27" s="1"/>
  <c r="G16"/>
  <c r="G27" s="1"/>
  <c r="C9"/>
  <c r="J5"/>
  <c r="I5"/>
  <c r="H5"/>
  <c r="G5"/>
  <c r="F5"/>
  <c r="E5"/>
  <c r="I91" i="17"/>
  <c r="I86"/>
  <c r="G82"/>
  <c r="H66"/>
  <c r="G66"/>
  <c r="H63"/>
  <c r="G63"/>
  <c r="E63"/>
  <c r="H62"/>
  <c r="G62"/>
  <c r="H61"/>
  <c r="G61"/>
  <c r="H57"/>
  <c r="H51"/>
  <c r="H53" s="1"/>
  <c r="G51"/>
  <c r="E51"/>
  <c r="I49"/>
  <c r="I48"/>
  <c r="I47"/>
  <c r="H46"/>
  <c r="G57"/>
  <c r="G60" s="1"/>
  <c r="G54" i="16" s="1"/>
  <c r="M35" i="17"/>
  <c r="M37" s="1"/>
  <c r="M33"/>
  <c r="M34" s="1"/>
  <c r="O34" s="1"/>
  <c r="G31"/>
  <c r="H31"/>
  <c r="G64"/>
  <c r="I29"/>
  <c r="H26"/>
  <c r="G26"/>
  <c r="E26"/>
  <c r="I23"/>
  <c r="I21"/>
  <c r="E116"/>
  <c r="I116" s="1"/>
  <c r="I16"/>
  <c r="E113"/>
  <c r="I113" s="1"/>
  <c r="F14"/>
  <c r="I13"/>
  <c r="H12"/>
  <c r="G12"/>
  <c r="H82" i="16"/>
  <c r="G82"/>
  <c r="J80"/>
  <c r="I80"/>
  <c r="AG79"/>
  <c r="F78"/>
  <c r="F76"/>
  <c r="J75"/>
  <c r="I75"/>
  <c r="AM73"/>
  <c r="AN73" s="1"/>
  <c r="L73"/>
  <c r="M67" s="1"/>
  <c r="AN72"/>
  <c r="F72"/>
  <c r="AN71"/>
  <c r="AN70"/>
  <c r="AN69"/>
  <c r="AN68"/>
  <c r="AN67"/>
  <c r="AN66"/>
  <c r="H65"/>
  <c r="H7" i="17" s="1"/>
  <c r="G65" i="16"/>
  <c r="G7" i="17" s="1"/>
  <c r="G41" s="1"/>
  <c r="G77" s="1"/>
  <c r="F65" i="16"/>
  <c r="F7" i="17" s="1"/>
  <c r="F41" s="1"/>
  <c r="F77" s="1"/>
  <c r="E65" i="16"/>
  <c r="E7" i="17" s="1"/>
  <c r="E41" s="1"/>
  <c r="E77" s="1"/>
  <c r="J44" i="16"/>
  <c r="J65" s="1"/>
  <c r="J7" i="17" s="1"/>
  <c r="I44" i="16"/>
  <c r="I65" s="1"/>
  <c r="I7" i="17" s="1"/>
  <c r="I77" s="1"/>
  <c r="H44" i="16"/>
  <c r="G44"/>
  <c r="F44"/>
  <c r="E44"/>
  <c r="G42"/>
  <c r="G63" s="1"/>
  <c r="G5" i="17" s="1"/>
  <c r="G39" s="1"/>
  <c r="G75" s="1"/>
  <c r="G3" i="18" s="1"/>
  <c r="E42" i="16"/>
  <c r="E63" s="1"/>
  <c r="E5" i="17" s="1"/>
  <c r="E39" s="1"/>
  <c r="E75" s="1"/>
  <c r="E3" i="18" s="1"/>
  <c r="AK33" i="16"/>
  <c r="I33"/>
  <c r="J33"/>
  <c r="AK30"/>
  <c r="I30"/>
  <c r="J30"/>
  <c r="H19"/>
  <c r="H18"/>
  <c r="H17"/>
  <c r="H16"/>
  <c r="H15"/>
  <c r="H14"/>
  <c r="G14"/>
  <c r="F14"/>
  <c r="E14"/>
  <c r="E46" s="1"/>
  <c r="J11"/>
  <c r="J10"/>
  <c r="I10"/>
  <c r="H33" i="17" l="1"/>
  <c r="H34" s="1"/>
  <c r="G33"/>
  <c r="G34" s="1"/>
  <c r="F21" i="16"/>
  <c r="F46"/>
  <c r="I18" i="17"/>
  <c r="E88"/>
  <c r="I88" s="1"/>
  <c r="E85"/>
  <c r="I85" s="1"/>
  <c r="I99"/>
  <c r="G46" i="16"/>
  <c r="G51" s="1"/>
  <c r="G25"/>
  <c r="O37" i="17"/>
  <c r="H54"/>
  <c r="I15"/>
  <c r="F15"/>
  <c r="E82"/>
  <c r="I82" s="1"/>
  <c r="F18"/>
  <c r="J18" s="1"/>
  <c r="H25" i="16"/>
  <c r="H65" i="17"/>
  <c r="I63"/>
  <c r="I26"/>
  <c r="H46" i="16"/>
  <c r="H51" s="1"/>
  <c r="I100" i="17"/>
  <c r="I9"/>
  <c r="K13"/>
  <c r="I14"/>
  <c r="F16"/>
  <c r="J16" s="1"/>
  <c r="E114"/>
  <c r="I114" s="1"/>
  <c r="K16"/>
  <c r="E84"/>
  <c r="I84" s="1"/>
  <c r="I98"/>
  <c r="K14"/>
  <c r="F13"/>
  <c r="J13" s="1"/>
  <c r="K15"/>
  <c r="K18"/>
  <c r="J77"/>
  <c r="J41"/>
  <c r="I14" i="16"/>
  <c r="J23"/>
  <c r="H77" i="17"/>
  <c r="H41"/>
  <c r="J98"/>
  <c r="M71" i="16"/>
  <c r="M69"/>
  <c r="I41" i="17"/>
  <c r="H60"/>
  <c r="H54" i="16" s="1"/>
  <c r="J14"/>
  <c r="E111" i="17"/>
  <c r="I111" s="1"/>
  <c r="E61"/>
  <c r="I61" s="1"/>
  <c r="I27"/>
  <c r="E83"/>
  <c r="I83" s="1"/>
  <c r="E31"/>
  <c r="H64"/>
  <c r="H29" i="18"/>
  <c r="G74" i="16"/>
  <c r="G83" s="1"/>
  <c r="AM74"/>
  <c r="AN74" s="1"/>
  <c r="I107" i="17"/>
  <c r="E110"/>
  <c r="I110" s="1"/>
  <c r="E17"/>
  <c r="E112"/>
  <c r="I112" s="1"/>
  <c r="E62"/>
  <c r="I62" s="1"/>
  <c r="J99"/>
  <c r="H74" i="16"/>
  <c r="H83" s="1"/>
  <c r="E12" i="17"/>
  <c r="I12" s="1"/>
  <c r="J14"/>
  <c r="I51"/>
  <c r="G65"/>
  <c r="I30"/>
  <c r="G46"/>
  <c r="I50"/>
  <c r="G53"/>
  <c r="E64"/>
  <c r="I64" s="1"/>
  <c r="F22" i="16" l="1"/>
  <c r="E21"/>
  <c r="J21"/>
  <c r="G67" i="17"/>
  <c r="G55" i="16" s="1"/>
  <c r="G54" i="17"/>
  <c r="K12"/>
  <c r="H67"/>
  <c r="H55" i="16" s="1"/>
  <c r="E65" i="17"/>
  <c r="I65" s="1"/>
  <c r="E101"/>
  <c r="F101" s="1"/>
  <c r="I79"/>
  <c r="H68"/>
  <c r="H56" i="16" s="1"/>
  <c r="J15" i="17"/>
  <c r="F17"/>
  <c r="F19" s="1"/>
  <c r="J79"/>
  <c r="J82"/>
  <c r="I97"/>
  <c r="I101" s="1"/>
  <c r="J97"/>
  <c r="E115"/>
  <c r="I115" s="1"/>
  <c r="E33"/>
  <c r="E34" s="1"/>
  <c r="I31"/>
  <c r="E19"/>
  <c r="I17"/>
  <c r="F12"/>
  <c r="J12" s="1"/>
  <c r="J9"/>
  <c r="E87"/>
  <c r="I87" s="1"/>
  <c r="I21" i="16"/>
  <c r="F24" l="1"/>
  <c r="F25" s="1"/>
  <c r="E22"/>
  <c r="E24" s="1"/>
  <c r="J22"/>
  <c r="E103" i="17"/>
  <c r="F103" s="1"/>
  <c r="G68"/>
  <c r="G56" i="16" s="1"/>
  <c r="J17" i="17"/>
  <c r="E89"/>
  <c r="I89" s="1"/>
  <c r="I19"/>
  <c r="E20"/>
  <c r="I20" s="1"/>
  <c r="J19"/>
  <c r="F20"/>
  <c r="J20" s="1"/>
  <c r="E117"/>
  <c r="I117" s="1"/>
  <c r="I33"/>
  <c r="I22" i="16" l="1"/>
  <c r="J24"/>
  <c r="I24"/>
  <c r="E25"/>
  <c r="E118" i="17"/>
  <c r="I118" s="1"/>
  <c r="I34"/>
  <c r="E90"/>
  <c r="I90" s="1"/>
  <c r="E5" i="14" l="1"/>
  <c r="O30" i="1"/>
  <c r="O31" s="1"/>
  <c r="H70"/>
  <c r="H69"/>
  <c r="H68"/>
  <c r="H67"/>
  <c r="H66"/>
  <c r="L32" l="1"/>
  <c r="K61"/>
  <c r="L7"/>
  <c r="L8"/>
  <c r="L9"/>
  <c r="L10"/>
  <c r="L11"/>
  <c r="L13"/>
  <c r="L14"/>
  <c r="L15"/>
  <c r="L17"/>
  <c r="L18"/>
  <c r="L19"/>
  <c r="L20"/>
  <c r="L21"/>
  <c r="L23"/>
  <c r="L24"/>
  <c r="L26"/>
  <c r="L27"/>
  <c r="L28"/>
  <c r="L29"/>
  <c r="L30"/>
  <c r="L36"/>
  <c r="L52"/>
  <c r="L53"/>
  <c r="L55"/>
  <c r="L59"/>
  <c r="L6"/>
  <c r="G14" i="14"/>
  <c r="F14"/>
  <c r="F8"/>
  <c r="G8"/>
  <c r="F4" l="1"/>
  <c r="F6" s="1"/>
  <c r="F20" s="1"/>
  <c r="G4"/>
  <c r="G6" s="1"/>
  <c r="G20" s="1"/>
  <c r="G15"/>
  <c r="G19" s="1"/>
  <c r="G21" s="1"/>
  <c r="F15"/>
  <c r="E10" i="15"/>
  <c r="F19" i="14" l="1"/>
  <c r="F21" s="1"/>
  <c r="F24" s="1"/>
  <c r="AK5" i="6" l="1"/>
  <c r="AK6"/>
  <c r="AK7"/>
  <c r="AK8"/>
  <c r="AK9"/>
  <c r="AK10"/>
  <c r="AK11"/>
  <c r="AK12"/>
  <c r="AK4"/>
  <c r="AJ13"/>
  <c r="AI13"/>
  <c r="R13"/>
  <c r="R26" i="1"/>
  <c r="Q26"/>
  <c r="P26"/>
  <c r="AK13" i="6" l="1"/>
  <c r="F22" i="14"/>
  <c r="K32" i="3"/>
  <c r="K31"/>
  <c r="G22" i="14" l="1"/>
  <c r="G23" s="1"/>
  <c r="G24"/>
  <c r="K34" i="3"/>
  <c r="F23" i="14"/>
  <c r="M67" i="1" l="1"/>
  <c r="M31"/>
  <c r="M34" s="1"/>
  <c r="M37" s="1"/>
  <c r="M69" l="1"/>
  <c r="M38"/>
  <c r="M66" s="1"/>
  <c r="M68"/>
  <c r="M70"/>
  <c r="S9" i="6"/>
  <c r="S13" l="1"/>
  <c r="F7" i="15"/>
  <c r="F8" s="1"/>
  <c r="F4"/>
  <c r="F5" s="1"/>
  <c r="E17" i="14"/>
  <c r="D5"/>
  <c r="E66" i="17" l="1"/>
  <c r="I52"/>
  <c r="E53"/>
  <c r="F6" i="15"/>
  <c r="G7"/>
  <c r="I53" i="17" l="1"/>
  <c r="E67"/>
  <c r="J102"/>
  <c r="I102"/>
  <c r="I66"/>
  <c r="C61" i="1"/>
  <c r="C53"/>
  <c r="C30"/>
  <c r="C26"/>
  <c r="C15"/>
  <c r="C14"/>
  <c r="C11"/>
  <c r="C48" s="1"/>
  <c r="I67" i="17" l="1"/>
  <c r="E55" i="16"/>
  <c r="I55" s="1"/>
  <c r="D27" i="3"/>
  <c r="G1112" i="2"/>
  <c r="G1115"/>
  <c r="G1113"/>
  <c r="I103" i="17" l="1"/>
  <c r="D58" i="4"/>
  <c r="E51"/>
  <c r="D29" i="3" l="1"/>
  <c r="D28"/>
  <c r="F30" i="13"/>
  <c r="E30"/>
  <c r="D30"/>
  <c r="J26"/>
  <c r="I26"/>
  <c r="H26"/>
  <c r="J25"/>
  <c r="I25"/>
  <c r="G25"/>
  <c r="J24"/>
  <c r="I24"/>
  <c r="G24"/>
  <c r="J23"/>
  <c r="I23"/>
  <c r="G23"/>
  <c r="J22"/>
  <c r="I22"/>
  <c r="H22"/>
  <c r="J21"/>
  <c r="I21"/>
  <c r="H21"/>
  <c r="J20"/>
  <c r="I20"/>
  <c r="G20"/>
  <c r="J19"/>
  <c r="I19"/>
  <c r="G19"/>
  <c r="J18"/>
  <c r="I18"/>
  <c r="G18"/>
  <c r="J17"/>
  <c r="I17"/>
  <c r="G17"/>
  <c r="J16"/>
  <c r="I16"/>
  <c r="H16"/>
  <c r="J15"/>
  <c r="I15"/>
  <c r="H15"/>
  <c r="J14"/>
  <c r="I14"/>
  <c r="H14"/>
  <c r="J13"/>
  <c r="I13"/>
  <c r="G13"/>
  <c r="J12"/>
  <c r="I12"/>
  <c r="G12"/>
  <c r="J11"/>
  <c r="I11"/>
  <c r="G11"/>
  <c r="J10"/>
  <c r="I10"/>
  <c r="G10"/>
  <c r="J9"/>
  <c r="I9"/>
  <c r="H9"/>
  <c r="J8"/>
  <c r="I8"/>
  <c r="G8"/>
  <c r="J7"/>
  <c r="I7"/>
  <c r="G7"/>
  <c r="J6"/>
  <c r="I6"/>
  <c r="H6"/>
  <c r="J5"/>
  <c r="I5"/>
  <c r="G5"/>
  <c r="J4"/>
  <c r="I4"/>
  <c r="G4"/>
  <c r="D13" i="3"/>
  <c r="L15" i="12"/>
  <c r="E22" i="4"/>
  <c r="E14"/>
  <c r="E13"/>
  <c r="G904" i="2"/>
  <c r="H904" s="1"/>
  <c r="H906" s="1"/>
  <c r="H908" s="1"/>
  <c r="H910" s="1"/>
  <c r="E31" i="13" l="1"/>
  <c r="H30"/>
  <c r="H32" s="1"/>
  <c r="G30"/>
  <c r="G32" s="1"/>
  <c r="I30"/>
  <c r="I32" s="1"/>
  <c r="D32" i="3" s="1"/>
  <c r="J30" i="13"/>
  <c r="J32" s="1"/>
  <c r="D30" i="3" s="1"/>
  <c r="G31" i="13" l="1"/>
  <c r="H33" s="1"/>
  <c r="C32" i="3"/>
  <c r="E56" i="4"/>
  <c r="C30" i="3"/>
  <c r="E54" i="4"/>
  <c r="I31" i="13"/>
  <c r="J33" s="1"/>
  <c r="H34" l="1"/>
  <c r="E12" i="4"/>
  <c r="F11" l="1"/>
  <c r="AE4" i="6" l="1"/>
  <c r="J47" i="17" l="1"/>
  <c r="E31" i="4"/>
  <c r="AG15" i="12"/>
  <c r="E40"/>
  <c r="Q39"/>
  <c r="P39"/>
  <c r="O39"/>
  <c r="N39"/>
  <c r="K39"/>
  <c r="F39"/>
  <c r="E39"/>
  <c r="D39"/>
  <c r="C38"/>
  <c r="V37"/>
  <c r="U37"/>
  <c r="T37"/>
  <c r="S37"/>
  <c r="R37"/>
  <c r="Q37"/>
  <c r="P37"/>
  <c r="O37"/>
  <c r="N37"/>
  <c r="L37"/>
  <c r="J37"/>
  <c r="I37"/>
  <c r="H37"/>
  <c r="G37"/>
  <c r="C37"/>
  <c r="V36"/>
  <c r="U36"/>
  <c r="T36"/>
  <c r="S36"/>
  <c r="R36"/>
  <c r="Q36"/>
  <c r="P36"/>
  <c r="O36"/>
  <c r="N36"/>
  <c r="L36"/>
  <c r="I36"/>
  <c r="H36"/>
  <c r="G36"/>
  <c r="C36"/>
  <c r="Q33"/>
  <c r="P33"/>
  <c r="O33"/>
  <c r="N33"/>
  <c r="M33"/>
  <c r="AA32"/>
  <c r="Z32"/>
  <c r="Y32"/>
  <c r="W32"/>
  <c r="X32" s="1"/>
  <c r="V32"/>
  <c r="U32"/>
  <c r="T32"/>
  <c r="S32"/>
  <c r="K32"/>
  <c r="I32"/>
  <c r="H32"/>
  <c r="G32"/>
  <c r="F32"/>
  <c r="V30"/>
  <c r="U30"/>
  <c r="T30"/>
  <c r="S30"/>
  <c r="R30"/>
  <c r="L30"/>
  <c r="Y30" s="1"/>
  <c r="K30"/>
  <c r="I30"/>
  <c r="H30"/>
  <c r="G30"/>
  <c r="F30"/>
  <c r="AH29"/>
  <c r="AA27"/>
  <c r="Z27"/>
  <c r="Y27"/>
  <c r="AA26"/>
  <c r="Z26"/>
  <c r="Y26"/>
  <c r="W26"/>
  <c r="X26" s="1"/>
  <c r="V26"/>
  <c r="U26"/>
  <c r="T26"/>
  <c r="S26"/>
  <c r="K26"/>
  <c r="I26"/>
  <c r="H26"/>
  <c r="G26"/>
  <c r="F26"/>
  <c r="Y25"/>
  <c r="V25"/>
  <c r="U25"/>
  <c r="T25"/>
  <c r="S25"/>
  <c r="M25"/>
  <c r="R25" s="1"/>
  <c r="Z25" s="1"/>
  <c r="K25"/>
  <c r="I25"/>
  <c r="H25"/>
  <c r="G25"/>
  <c r="F25"/>
  <c r="L23"/>
  <c r="E23"/>
  <c r="D23"/>
  <c r="C23"/>
  <c r="Y22"/>
  <c r="V22"/>
  <c r="V23" s="1"/>
  <c r="U22"/>
  <c r="U23" s="1"/>
  <c r="T22"/>
  <c r="T23" s="1"/>
  <c r="S22"/>
  <c r="S23" s="1"/>
  <c r="K22"/>
  <c r="K23" s="1"/>
  <c r="I22"/>
  <c r="H22"/>
  <c r="H23" s="1"/>
  <c r="G22"/>
  <c r="G23" s="1"/>
  <c r="F22"/>
  <c r="F23" s="1"/>
  <c r="AA21"/>
  <c r="Z21"/>
  <c r="Y21"/>
  <c r="E20"/>
  <c r="E24" s="1"/>
  <c r="E28" s="1"/>
  <c r="V19"/>
  <c r="U19"/>
  <c r="T19"/>
  <c r="S19"/>
  <c r="R19"/>
  <c r="W19" s="1"/>
  <c r="X19" s="1"/>
  <c r="Q19"/>
  <c r="P19"/>
  <c r="O19"/>
  <c r="N19"/>
  <c r="M19"/>
  <c r="L19"/>
  <c r="AD19" s="1"/>
  <c r="K19"/>
  <c r="I19"/>
  <c r="H19"/>
  <c r="G19"/>
  <c r="F19"/>
  <c r="D19"/>
  <c r="C19"/>
  <c r="V18"/>
  <c r="U18"/>
  <c r="T18"/>
  <c r="S18"/>
  <c r="R18"/>
  <c r="Q18"/>
  <c r="P18"/>
  <c r="O18"/>
  <c r="N18"/>
  <c r="M18"/>
  <c r="L18"/>
  <c r="K18"/>
  <c r="I18"/>
  <c r="H18"/>
  <c r="G18"/>
  <c r="F18"/>
  <c r="D18"/>
  <c r="C18"/>
  <c r="V17"/>
  <c r="U17"/>
  <c r="T17"/>
  <c r="S17"/>
  <c r="R17"/>
  <c r="W17" s="1"/>
  <c r="X17" s="1"/>
  <c r="Q17"/>
  <c r="P17"/>
  <c r="O17"/>
  <c r="N17"/>
  <c r="M17"/>
  <c r="L17"/>
  <c r="K17"/>
  <c r="I17"/>
  <c r="H17"/>
  <c r="G17"/>
  <c r="F17"/>
  <c r="D17"/>
  <c r="C17"/>
  <c r="V16"/>
  <c r="U16"/>
  <c r="T16"/>
  <c r="S16"/>
  <c r="R16"/>
  <c r="Q16"/>
  <c r="P16"/>
  <c r="O16"/>
  <c r="N16"/>
  <c r="M16"/>
  <c r="L16"/>
  <c r="AG16" s="1"/>
  <c r="K16"/>
  <c r="I16"/>
  <c r="H16"/>
  <c r="G16"/>
  <c r="F16"/>
  <c r="D16"/>
  <c r="C16"/>
  <c r="V15"/>
  <c r="U15"/>
  <c r="T15"/>
  <c r="S15"/>
  <c r="R15"/>
  <c r="W15" s="1"/>
  <c r="X15" s="1"/>
  <c r="Q15"/>
  <c r="P15"/>
  <c r="O15"/>
  <c r="N15"/>
  <c r="M15"/>
  <c r="K15"/>
  <c r="I15"/>
  <c r="H15"/>
  <c r="G15"/>
  <c r="F15"/>
  <c r="D15"/>
  <c r="C15"/>
  <c r="V14"/>
  <c r="U14"/>
  <c r="T14"/>
  <c r="S14"/>
  <c r="R14"/>
  <c r="W14" s="1"/>
  <c r="X14" s="1"/>
  <c r="Q14"/>
  <c r="P14"/>
  <c r="O14"/>
  <c r="N14"/>
  <c r="L14"/>
  <c r="AG14" s="1"/>
  <c r="I14"/>
  <c r="H14"/>
  <c r="G14"/>
  <c r="D14"/>
  <c r="C14"/>
  <c r="AA13"/>
  <c r="Z13"/>
  <c r="Y13"/>
  <c r="E12"/>
  <c r="V11"/>
  <c r="U11"/>
  <c r="T11"/>
  <c r="S11"/>
  <c r="R11"/>
  <c r="Q11"/>
  <c r="P11"/>
  <c r="O11"/>
  <c r="N11"/>
  <c r="M11"/>
  <c r="L11"/>
  <c r="AG11" s="1"/>
  <c r="K11"/>
  <c r="I11"/>
  <c r="H11"/>
  <c r="G11"/>
  <c r="F11"/>
  <c r="D11"/>
  <c r="C11"/>
  <c r="R10"/>
  <c r="Q10"/>
  <c r="P10"/>
  <c r="O10"/>
  <c r="N10"/>
  <c r="L10"/>
  <c r="AG10" s="1"/>
  <c r="K10"/>
  <c r="I10"/>
  <c r="H10"/>
  <c r="G10"/>
  <c r="F10"/>
  <c r="D10"/>
  <c r="C10"/>
  <c r="R9"/>
  <c r="Q9"/>
  <c r="P9"/>
  <c r="O9"/>
  <c r="N9"/>
  <c r="L9"/>
  <c r="AG9" s="1"/>
  <c r="C9"/>
  <c r="V8"/>
  <c r="U8"/>
  <c r="T8"/>
  <c r="S8"/>
  <c r="R8"/>
  <c r="Q8"/>
  <c r="P8"/>
  <c r="O8"/>
  <c r="N8"/>
  <c r="L8"/>
  <c r="K8"/>
  <c r="I8"/>
  <c r="H8"/>
  <c r="G8"/>
  <c r="F8"/>
  <c r="D8"/>
  <c r="D40" s="1"/>
  <c r="C8"/>
  <c r="Y23" l="1"/>
  <c r="Z30"/>
  <c r="S12"/>
  <c r="H12"/>
  <c r="H41" s="1"/>
  <c r="N40"/>
  <c r="C40"/>
  <c r="G12"/>
  <c r="G41" s="1"/>
  <c r="C39"/>
  <c r="N22"/>
  <c r="N23" s="1"/>
  <c r="Z16"/>
  <c r="G38"/>
  <c r="G39" s="1"/>
  <c r="S38"/>
  <c r="S39" s="1"/>
  <c r="I40"/>
  <c r="T40"/>
  <c r="Y11"/>
  <c r="S20"/>
  <c r="S24" s="1"/>
  <c r="S28" s="1"/>
  <c r="S42" s="1"/>
  <c r="T20"/>
  <c r="T24" s="1"/>
  <c r="T28" s="1"/>
  <c r="T42" s="1"/>
  <c r="T38"/>
  <c r="T39" s="1"/>
  <c r="M9"/>
  <c r="H20"/>
  <c r="H24" s="1"/>
  <c r="H28" s="1"/>
  <c r="H42" s="1"/>
  <c r="M8"/>
  <c r="AA8" s="1"/>
  <c r="J14"/>
  <c r="P22"/>
  <c r="P23" s="1"/>
  <c r="Y18"/>
  <c r="L38"/>
  <c r="L39" s="1"/>
  <c r="J10"/>
  <c r="AA11"/>
  <c r="Z11"/>
  <c r="P20"/>
  <c r="J15"/>
  <c r="AD16"/>
  <c r="AE16" s="1"/>
  <c r="AA18"/>
  <c r="W25"/>
  <c r="X25" s="1"/>
  <c r="W30"/>
  <c r="X30" s="1"/>
  <c r="O38"/>
  <c r="G40"/>
  <c r="G20"/>
  <c r="G24" s="1"/>
  <c r="G28" s="1"/>
  <c r="G42" s="1"/>
  <c r="F20"/>
  <c r="F24" s="1"/>
  <c r="F28" s="1"/>
  <c r="Z18"/>
  <c r="J30"/>
  <c r="AG19"/>
  <c r="K20"/>
  <c r="K24" s="1"/>
  <c r="K28" s="1"/>
  <c r="K12"/>
  <c r="K41" s="1"/>
  <c r="S40"/>
  <c r="J11"/>
  <c r="N20"/>
  <c r="V20"/>
  <c r="V24" s="1"/>
  <c r="V28" s="1"/>
  <c r="V42" s="1"/>
  <c r="L20"/>
  <c r="L24" s="1"/>
  <c r="M22"/>
  <c r="M23" s="1"/>
  <c r="Q22"/>
  <c r="Q23" s="1"/>
  <c r="AD18"/>
  <c r="AE18" s="1"/>
  <c r="J25"/>
  <c r="AA25"/>
  <c r="J26"/>
  <c r="AA30"/>
  <c r="J32"/>
  <c r="U38"/>
  <c r="U39" s="1"/>
  <c r="AG18"/>
  <c r="R20"/>
  <c r="W20" s="1"/>
  <c r="X20" s="1"/>
  <c r="R12"/>
  <c r="W12" s="1"/>
  <c r="X12" s="1"/>
  <c r="W11"/>
  <c r="X11" s="1"/>
  <c r="C20"/>
  <c r="AC24" s="1"/>
  <c r="AC26" s="1"/>
  <c r="O20"/>
  <c r="Y15"/>
  <c r="Y17"/>
  <c r="Y19"/>
  <c r="P38"/>
  <c r="O12"/>
  <c r="O41" s="1"/>
  <c r="N12"/>
  <c r="N41" s="1"/>
  <c r="M10"/>
  <c r="AA15"/>
  <c r="AD15"/>
  <c r="AE15" s="1"/>
  <c r="O22"/>
  <c r="O23" s="1"/>
  <c r="W16"/>
  <c r="X16" s="1"/>
  <c r="AA17"/>
  <c r="AD17"/>
  <c r="AE17" s="1"/>
  <c r="W18"/>
  <c r="X18" s="1"/>
  <c r="AA19"/>
  <c r="Q38"/>
  <c r="AG17"/>
  <c r="L40"/>
  <c r="P40"/>
  <c r="L12"/>
  <c r="L41" s="1"/>
  <c r="Z15"/>
  <c r="Y16"/>
  <c r="Z17"/>
  <c r="Z19"/>
  <c r="AE19"/>
  <c r="O40"/>
  <c r="AG8"/>
  <c r="AG12" s="1"/>
  <c r="Y8"/>
  <c r="E29"/>
  <c r="E41"/>
  <c r="I23"/>
  <c r="J22"/>
  <c r="J23" s="1"/>
  <c r="Z8"/>
  <c r="D20"/>
  <c r="D24" s="1"/>
  <c r="D28" s="1"/>
  <c r="D42" s="1"/>
  <c r="Y14"/>
  <c r="Q12"/>
  <c r="Q41" s="1"/>
  <c r="Q40"/>
  <c r="U12"/>
  <c r="U40"/>
  <c r="I12"/>
  <c r="F12"/>
  <c r="J8"/>
  <c r="R40"/>
  <c r="W8"/>
  <c r="X8" s="1"/>
  <c r="V40"/>
  <c r="V12"/>
  <c r="D12"/>
  <c r="AA16"/>
  <c r="N38"/>
  <c r="R38"/>
  <c r="R39" s="1"/>
  <c r="V38"/>
  <c r="V39" s="1"/>
  <c r="T12"/>
  <c r="M14"/>
  <c r="M20" s="1"/>
  <c r="Q20"/>
  <c r="U20"/>
  <c r="U24" s="1"/>
  <c r="U28" s="1"/>
  <c r="U42" s="1"/>
  <c r="Z14"/>
  <c r="J16"/>
  <c r="J17"/>
  <c r="J18"/>
  <c r="J19"/>
  <c r="H38"/>
  <c r="H39" s="1"/>
  <c r="H40"/>
  <c r="C12"/>
  <c r="P12"/>
  <c r="P41" s="1"/>
  <c r="I20"/>
  <c r="J36"/>
  <c r="J38" s="1"/>
  <c r="J39" s="1"/>
  <c r="I38"/>
  <c r="I39" s="1"/>
  <c r="AB15"/>
  <c r="AC15" s="1"/>
  <c r="AB16"/>
  <c r="AC16" s="1"/>
  <c r="AB17"/>
  <c r="AC17" s="1"/>
  <c r="AB18"/>
  <c r="AC18" s="1"/>
  <c r="AB19"/>
  <c r="AC19" s="1"/>
  <c r="I24" l="1"/>
  <c r="I28" s="1"/>
  <c r="I42" s="1"/>
  <c r="AG20"/>
  <c r="R41"/>
  <c r="Q24"/>
  <c r="Q28" s="1"/>
  <c r="Q42" s="1"/>
  <c r="K29"/>
  <c r="K31" s="1"/>
  <c r="K33" s="1"/>
  <c r="K34" s="1"/>
  <c r="N24"/>
  <c r="N28" s="1"/>
  <c r="N42" s="1"/>
  <c r="AC22"/>
  <c r="S29"/>
  <c r="S31" s="1"/>
  <c r="S33" s="1"/>
  <c r="S34" s="1"/>
  <c r="M24"/>
  <c r="M28" s="1"/>
  <c r="M12"/>
  <c r="AA12" s="1"/>
  <c r="Y20"/>
  <c r="J20"/>
  <c r="J24" s="1"/>
  <c r="J28" s="1"/>
  <c r="J42" s="1"/>
  <c r="H29"/>
  <c r="H31" s="1"/>
  <c r="H33" s="1"/>
  <c r="H34" s="1"/>
  <c r="Z20"/>
  <c r="P24"/>
  <c r="P28" s="1"/>
  <c r="P42" s="1"/>
  <c r="T29"/>
  <c r="T31" s="1"/>
  <c r="T33" s="1"/>
  <c r="T34" s="1"/>
  <c r="G29"/>
  <c r="G31" s="1"/>
  <c r="G33" s="1"/>
  <c r="G34" s="1"/>
  <c r="O24"/>
  <c r="O28" s="1"/>
  <c r="O42" s="1"/>
  <c r="R22"/>
  <c r="AA22" s="1"/>
  <c r="AC11"/>
  <c r="AA20"/>
  <c r="Z12"/>
  <c r="C24"/>
  <c r="C28" s="1"/>
  <c r="C42" s="1"/>
  <c r="D41"/>
  <c r="D29"/>
  <c r="D31" s="1"/>
  <c r="D33" s="1"/>
  <c r="D34" s="1"/>
  <c r="V29"/>
  <c r="V31" s="1"/>
  <c r="V33" s="1"/>
  <c r="V34" s="1"/>
  <c r="I41"/>
  <c r="Y12"/>
  <c r="C41"/>
  <c r="L28"/>
  <c r="Y24"/>
  <c r="J40"/>
  <c r="J12"/>
  <c r="E30"/>
  <c r="E42" s="1"/>
  <c r="AA14"/>
  <c r="F41"/>
  <c r="F29"/>
  <c r="F31" s="1"/>
  <c r="F33" s="1"/>
  <c r="F34" s="1"/>
  <c r="U29"/>
  <c r="U31" s="1"/>
  <c r="U33" s="1"/>
  <c r="U34" s="1"/>
  <c r="I29" l="1"/>
  <c r="I31" s="1"/>
  <c r="I33" s="1"/>
  <c r="I34" s="1"/>
  <c r="W22"/>
  <c r="X22" s="1"/>
  <c r="R23"/>
  <c r="Z22"/>
  <c r="C29"/>
  <c r="C31" s="1"/>
  <c r="C33" s="1"/>
  <c r="C34" s="1"/>
  <c r="J41"/>
  <c r="J29"/>
  <c r="J31" s="1"/>
  <c r="J33" s="1"/>
  <c r="J34" s="1"/>
  <c r="E31"/>
  <c r="E33" s="1"/>
  <c r="E34" s="1"/>
  <c r="L42"/>
  <c r="Y28"/>
  <c r="L29"/>
  <c r="W23" l="1"/>
  <c r="X23" s="1"/>
  <c r="Z23"/>
  <c r="R24"/>
  <c r="AA23"/>
  <c r="L31"/>
  <c r="Y29"/>
  <c r="W24" l="1"/>
  <c r="X24" s="1"/>
  <c r="R28"/>
  <c r="AA24"/>
  <c r="Z24"/>
  <c r="L33"/>
  <c r="Y31"/>
  <c r="R42" l="1"/>
  <c r="R29"/>
  <c r="W28"/>
  <c r="X28" s="1"/>
  <c r="Z28"/>
  <c r="AA28"/>
  <c r="L34"/>
  <c r="Y34" s="1"/>
  <c r="Y33"/>
  <c r="Z29" l="1"/>
  <c r="AA29"/>
  <c r="R31"/>
  <c r="AB29"/>
  <c r="W29"/>
  <c r="X29" s="1"/>
  <c r="R33" l="1"/>
  <c r="Z31"/>
  <c r="W31"/>
  <c r="X31" s="1"/>
  <c r="AA31"/>
  <c r="D14" i="4"/>
  <c r="D29"/>
  <c r="E29" s="1"/>
  <c r="G47" i="2"/>
  <c r="D35" i="4"/>
  <c r="E35" s="1"/>
  <c r="D28"/>
  <c r="E28" s="1"/>
  <c r="D27"/>
  <c r="E27" s="1"/>
  <c r="D26"/>
  <c r="E26" s="1"/>
  <c r="D25"/>
  <c r="E25" s="1"/>
  <c r="G51" i="2"/>
  <c r="D23" i="4"/>
  <c r="D22"/>
  <c r="J47" i="2"/>
  <c r="J46"/>
  <c r="H46" s="1"/>
  <c r="G46" s="1"/>
  <c r="D13" i="4"/>
  <c r="B877" i="2"/>
  <c r="B875"/>
  <c r="B873"/>
  <c r="B872"/>
  <c r="B871"/>
  <c r="B870"/>
  <c r="B868"/>
  <c r="B867"/>
  <c r="B866"/>
  <c r="B864"/>
  <c r="B863"/>
  <c r="B861"/>
  <c r="B860"/>
  <c r="B859"/>
  <c r="B858"/>
  <c r="B857"/>
  <c r="B856"/>
  <c r="J14"/>
  <c r="J48" l="1"/>
  <c r="H48" s="1"/>
  <c r="D20" i="4"/>
  <c r="H47" i="2"/>
  <c r="Z33" i="12"/>
  <c r="W33"/>
  <c r="X33" s="1"/>
  <c r="R34"/>
  <c r="AA33"/>
  <c r="F20" i="11"/>
  <c r="E20"/>
  <c r="D20"/>
  <c r="J18"/>
  <c r="I18"/>
  <c r="G18"/>
  <c r="J17"/>
  <c r="I17"/>
  <c r="G17"/>
  <c r="J16"/>
  <c r="I16"/>
  <c r="H16"/>
  <c r="J15"/>
  <c r="I15"/>
  <c r="H15"/>
  <c r="J14"/>
  <c r="I14"/>
  <c r="H14"/>
  <c r="J13"/>
  <c r="I13"/>
  <c r="G13"/>
  <c r="J12"/>
  <c r="I12"/>
  <c r="G12"/>
  <c r="J11"/>
  <c r="I11"/>
  <c r="G11"/>
  <c r="J10"/>
  <c r="I10"/>
  <c r="G10"/>
  <c r="J9"/>
  <c r="I9"/>
  <c r="H9"/>
  <c r="J8"/>
  <c r="I8"/>
  <c r="G8"/>
  <c r="J7"/>
  <c r="I7"/>
  <c r="G7"/>
  <c r="J6"/>
  <c r="I6"/>
  <c r="H6"/>
  <c r="J5"/>
  <c r="I5"/>
  <c r="G5"/>
  <c r="J4"/>
  <c r="I4"/>
  <c r="G4"/>
  <c r="J49" i="2" l="1"/>
  <c r="E21" i="11"/>
  <c r="Z34" i="12"/>
  <c r="AA34"/>
  <c r="W34"/>
  <c r="X34" s="1"/>
  <c r="G20" i="11"/>
  <c r="I20"/>
  <c r="J20"/>
  <c r="H20"/>
  <c r="I21" l="1"/>
  <c r="J23" s="1"/>
  <c r="G21"/>
  <c r="H23" s="1"/>
  <c r="E74" i="4"/>
  <c r="H74" s="1"/>
  <c r="E73"/>
  <c r="H73" s="1"/>
  <c r="E70"/>
  <c r="H70" s="1"/>
  <c r="E71"/>
  <c r="H71" s="1"/>
  <c r="E69"/>
  <c r="H69" s="1"/>
  <c r="I10"/>
  <c r="AE35" i="6"/>
  <c r="H24" i="11" l="1"/>
  <c r="H72" i="4"/>
  <c r="K32" i="1" l="1"/>
  <c r="K30"/>
  <c r="K27"/>
  <c r="I60"/>
  <c r="I57"/>
  <c r="L57" s="1"/>
  <c r="I56"/>
  <c r="L56" s="1"/>
  <c r="I54"/>
  <c r="L54" s="1"/>
  <c r="I42"/>
  <c r="L42" s="1"/>
  <c r="I40"/>
  <c r="L40" s="1"/>
  <c r="I39"/>
  <c r="L39" s="1"/>
  <c r="I35"/>
  <c r="L35" s="1"/>
  <c r="I33"/>
  <c r="L33" s="1"/>
  <c r="I25"/>
  <c r="L25" s="1"/>
  <c r="I22"/>
  <c r="L22" s="1"/>
  <c r="I12"/>
  <c r="L12" s="1"/>
  <c r="I61" l="1"/>
  <c r="I48" s="1"/>
  <c r="L60"/>
  <c r="I58"/>
  <c r="I31"/>
  <c r="I34" s="1"/>
  <c r="I16"/>
  <c r="I67" s="1"/>
  <c r="I37" l="1"/>
  <c r="I49"/>
  <c r="I69" l="1"/>
  <c r="I68"/>
  <c r="I70"/>
  <c r="I50"/>
  <c r="I51" s="1"/>
  <c r="I41"/>
  <c r="I43" s="1"/>
  <c r="I66"/>
  <c r="G61" l="1"/>
  <c r="G58"/>
  <c r="G46"/>
  <c r="G47" s="1"/>
  <c r="G48"/>
  <c r="G31"/>
  <c r="G34" s="1"/>
  <c r="G37" s="1"/>
  <c r="G16"/>
  <c r="G67" s="1"/>
  <c r="F53" i="10"/>
  <c r="D53"/>
  <c r="C53"/>
  <c r="D52"/>
  <c r="E52"/>
  <c r="F52"/>
  <c r="G52"/>
  <c r="C52"/>
  <c r="D51"/>
  <c r="E51"/>
  <c r="F51"/>
  <c r="G51"/>
  <c r="C51"/>
  <c r="F50"/>
  <c r="E50"/>
  <c r="D50"/>
  <c r="C50"/>
  <c r="D46"/>
  <c r="E46"/>
  <c r="F46"/>
  <c r="C46"/>
  <c r="D31"/>
  <c r="E31"/>
  <c r="F31"/>
  <c r="C31"/>
  <c r="AD11" i="6"/>
  <c r="AE14"/>
  <c r="F7"/>
  <c r="G62" i="1" l="1"/>
  <c r="G63" s="1"/>
  <c r="G68"/>
  <c r="G70"/>
  <c r="G69"/>
  <c r="G38"/>
  <c r="G50"/>
  <c r="G49"/>
  <c r="G41" l="1"/>
  <c r="G43" s="1"/>
  <c r="G66"/>
  <c r="G51"/>
  <c r="H5" i="7"/>
  <c r="H7" i="8" l="1"/>
  <c r="G7"/>
  <c r="F7"/>
  <c r="E7"/>
  <c r="I6"/>
  <c r="I5"/>
  <c r="I4"/>
  <c r="O7" i="6"/>
  <c r="J13" i="4"/>
  <c r="D42" i="1"/>
  <c r="F40"/>
  <c r="F39"/>
  <c r="D35"/>
  <c r="E35" s="1"/>
  <c r="D40" l="1"/>
  <c r="E40" s="1"/>
  <c r="D39"/>
  <c r="E39" s="1"/>
  <c r="I7" i="8"/>
  <c r="H854" i="2"/>
  <c r="H852"/>
  <c r="H853" s="1"/>
  <c r="I13" i="4"/>
  <c r="H855" i="2" l="1"/>
  <c r="G16" i="7"/>
  <c r="G17" s="1"/>
  <c r="F16"/>
  <c r="F17" s="1"/>
  <c r="E16"/>
  <c r="E17" s="1"/>
  <c r="D16"/>
  <c r="D17" s="1"/>
  <c r="H14"/>
  <c r="H11"/>
  <c r="H8"/>
  <c r="H3"/>
  <c r="H16" l="1"/>
  <c r="F60" i="1"/>
  <c r="H213" i="2"/>
  <c r="N34" i="6"/>
  <c r="N9" s="1"/>
  <c r="L34"/>
  <c r="L9" s="1"/>
  <c r="J34"/>
  <c r="J9" s="1"/>
  <c r="F34"/>
  <c r="F9" s="1"/>
  <c r="D34"/>
  <c r="D9" s="1"/>
  <c r="B34"/>
  <c r="AE33"/>
  <c r="AD33"/>
  <c r="Q33"/>
  <c r="P33"/>
  <c r="P34" s="1"/>
  <c r="I33"/>
  <c r="H33"/>
  <c r="H34" s="1"/>
  <c r="AD32"/>
  <c r="P32"/>
  <c r="O32"/>
  <c r="O34" s="1"/>
  <c r="M32"/>
  <c r="M34" s="1"/>
  <c r="K32"/>
  <c r="K34" s="1"/>
  <c r="H32"/>
  <c r="G32"/>
  <c r="G34" s="1"/>
  <c r="G9" s="1"/>
  <c r="E32"/>
  <c r="E34" s="1"/>
  <c r="E9" s="1"/>
  <c r="C32"/>
  <c r="AE31"/>
  <c r="AD31"/>
  <c r="Q31"/>
  <c r="P31"/>
  <c r="I31"/>
  <c r="H31"/>
  <c r="AD26"/>
  <c r="P26"/>
  <c r="H26"/>
  <c r="M21"/>
  <c r="F21"/>
  <c r="D21"/>
  <c r="B21"/>
  <c r="P20"/>
  <c r="P21" s="1"/>
  <c r="K20"/>
  <c r="H20"/>
  <c r="H21" s="1"/>
  <c r="G20"/>
  <c r="E20"/>
  <c r="C20"/>
  <c r="P19"/>
  <c r="K19"/>
  <c r="Q19" s="1"/>
  <c r="H19"/>
  <c r="G19"/>
  <c r="E19"/>
  <c r="C19"/>
  <c r="P18"/>
  <c r="O18"/>
  <c r="O11" s="1"/>
  <c r="K18"/>
  <c r="H18"/>
  <c r="G18"/>
  <c r="E18"/>
  <c r="C18"/>
  <c r="AE12"/>
  <c r="AD12"/>
  <c r="Q12"/>
  <c r="P12"/>
  <c r="I12"/>
  <c r="H12"/>
  <c r="P11"/>
  <c r="M11"/>
  <c r="H11"/>
  <c r="AH11" s="1"/>
  <c r="AD10"/>
  <c r="P10"/>
  <c r="M10"/>
  <c r="K10"/>
  <c r="H10"/>
  <c r="G10"/>
  <c r="B9"/>
  <c r="AE8"/>
  <c r="AD8"/>
  <c r="Q8"/>
  <c r="P8"/>
  <c r="I8"/>
  <c r="H8"/>
  <c r="N7"/>
  <c r="M7"/>
  <c r="L7"/>
  <c r="J7"/>
  <c r="D7"/>
  <c r="B7"/>
  <c r="AE6"/>
  <c r="AD6"/>
  <c r="Q6"/>
  <c r="P6"/>
  <c r="I6"/>
  <c r="H6"/>
  <c r="AE5"/>
  <c r="AD5"/>
  <c r="Q5"/>
  <c r="P5"/>
  <c r="I5"/>
  <c r="H5"/>
  <c r="AD4"/>
  <c r="Q4"/>
  <c r="P4"/>
  <c r="I4"/>
  <c r="H4"/>
  <c r="G31" i="4"/>
  <c r="F34"/>
  <c r="F32"/>
  <c r="F33" i="1" s="1"/>
  <c r="F31" i="4"/>
  <c r="G7" i="6" l="1"/>
  <c r="K7"/>
  <c r="Q7" s="1"/>
  <c r="J29" i="17"/>
  <c r="J85"/>
  <c r="F113"/>
  <c r="J113" s="1"/>
  <c r="J48"/>
  <c r="F62"/>
  <c r="J62" s="1"/>
  <c r="J83"/>
  <c r="J27"/>
  <c r="F111"/>
  <c r="J111" s="1"/>
  <c r="F31"/>
  <c r="F87" s="1"/>
  <c r="F61"/>
  <c r="J61" s="1"/>
  <c r="J49"/>
  <c r="F63"/>
  <c r="J63" s="1"/>
  <c r="F114"/>
  <c r="J114" s="1"/>
  <c r="J86"/>
  <c r="J30"/>
  <c r="E7" i="6"/>
  <c r="J84" i="17"/>
  <c r="J28"/>
  <c r="F112"/>
  <c r="J112" s="1"/>
  <c r="E60" i="1"/>
  <c r="D33"/>
  <c r="E33" s="1"/>
  <c r="AE20" i="6"/>
  <c r="AH5"/>
  <c r="AH12"/>
  <c r="G21"/>
  <c r="AE19"/>
  <c r="AH8"/>
  <c r="AF4"/>
  <c r="AF8"/>
  <c r="AF5"/>
  <c r="H9"/>
  <c r="P7"/>
  <c r="AE10"/>
  <c r="AF10" s="1"/>
  <c r="C7"/>
  <c r="Q10"/>
  <c r="G11"/>
  <c r="E21"/>
  <c r="I32"/>
  <c r="I34" s="1"/>
  <c r="Q35" s="1"/>
  <c r="Q32"/>
  <c r="Q34" s="1"/>
  <c r="C34"/>
  <c r="C9" s="1"/>
  <c r="I9" s="1"/>
  <c r="AF6"/>
  <c r="AH6"/>
  <c r="AF12"/>
  <c r="AD34"/>
  <c r="AH4"/>
  <c r="AD7"/>
  <c r="H7"/>
  <c r="H13" s="1"/>
  <c r="AD14" s="1"/>
  <c r="AF14" s="1"/>
  <c r="AH10"/>
  <c r="C21"/>
  <c r="K21"/>
  <c r="F32" i="1"/>
  <c r="P9" i="6"/>
  <c r="P13" s="1"/>
  <c r="L13"/>
  <c r="D13"/>
  <c r="AD9"/>
  <c r="N13"/>
  <c r="F13"/>
  <c r="AE18"/>
  <c r="E11"/>
  <c r="K11"/>
  <c r="Q11" s="1"/>
  <c r="I18"/>
  <c r="Q18"/>
  <c r="I10"/>
  <c r="C11"/>
  <c r="B13"/>
  <c r="J13"/>
  <c r="I19"/>
  <c r="Q20"/>
  <c r="AE32"/>
  <c r="I20"/>
  <c r="G13" l="1"/>
  <c r="E13"/>
  <c r="AE7"/>
  <c r="AH9"/>
  <c r="J23" i="17"/>
  <c r="F26"/>
  <c r="J26" s="1"/>
  <c r="AE34" i="6"/>
  <c r="J87" i="17"/>
  <c r="F115"/>
  <c r="J115" s="1"/>
  <c r="F33"/>
  <c r="F89" s="1"/>
  <c r="J31"/>
  <c r="E32" i="1"/>
  <c r="AE21" i="6"/>
  <c r="AH7"/>
  <c r="I7"/>
  <c r="O35"/>
  <c r="O9" s="1"/>
  <c r="O13" s="1"/>
  <c r="F29" i="3"/>
  <c r="AD13" i="6"/>
  <c r="AD15" s="1"/>
  <c r="AF7"/>
  <c r="M35"/>
  <c r="M9" s="1"/>
  <c r="M13" s="1"/>
  <c r="I21"/>
  <c r="K35"/>
  <c r="K9" s="1"/>
  <c r="C38"/>
  <c r="AE11"/>
  <c r="I11"/>
  <c r="Q21"/>
  <c r="C13"/>
  <c r="F53" i="4"/>
  <c r="F54" i="1" s="1"/>
  <c r="F54" i="4"/>
  <c r="F55" i="1" s="1"/>
  <c r="F55" i="4"/>
  <c r="F56" i="1" s="1"/>
  <c r="F56" i="4"/>
  <c r="F57" i="1" s="1"/>
  <c r="F51" i="4"/>
  <c r="F52" i="1" s="1"/>
  <c r="G52" i="4"/>
  <c r="F20" i="5"/>
  <c r="E20"/>
  <c r="D20"/>
  <c r="J17"/>
  <c r="I17"/>
  <c r="G17"/>
  <c r="J16"/>
  <c r="I16"/>
  <c r="H16"/>
  <c r="J15"/>
  <c r="I15"/>
  <c r="H15"/>
  <c r="J14"/>
  <c r="I14"/>
  <c r="H14"/>
  <c r="J13"/>
  <c r="I13"/>
  <c r="G13"/>
  <c r="J12"/>
  <c r="I12"/>
  <c r="G12"/>
  <c r="J11"/>
  <c r="I11"/>
  <c r="G11"/>
  <c r="J10"/>
  <c r="I10"/>
  <c r="G10"/>
  <c r="J9"/>
  <c r="I9"/>
  <c r="H9"/>
  <c r="J8"/>
  <c r="I8"/>
  <c r="G8"/>
  <c r="J7"/>
  <c r="I7"/>
  <c r="G7"/>
  <c r="J6"/>
  <c r="I6"/>
  <c r="H6"/>
  <c r="J5"/>
  <c r="I5"/>
  <c r="G5"/>
  <c r="J4"/>
  <c r="I4"/>
  <c r="G4"/>
  <c r="E21" l="1"/>
  <c r="AH13" i="6"/>
  <c r="F117" i="17"/>
  <c r="J117" s="1"/>
  <c r="F34"/>
  <c r="J33"/>
  <c r="J89"/>
  <c r="J88"/>
  <c r="J32"/>
  <c r="F116"/>
  <c r="J116" s="1"/>
  <c r="F110"/>
  <c r="J110" s="1"/>
  <c r="J107"/>
  <c r="AF11" i="6"/>
  <c r="J100" i="17"/>
  <c r="J101" s="1"/>
  <c r="I13" i="6"/>
  <c r="I15" s="1"/>
  <c r="Q15" s="1"/>
  <c r="E56" i="1"/>
  <c r="E52"/>
  <c r="E54"/>
  <c r="E55"/>
  <c r="E3" i="14"/>
  <c r="E57" i="1"/>
  <c r="D3" i="14" s="1"/>
  <c r="J20" i="5"/>
  <c r="J22" s="1"/>
  <c r="G20"/>
  <c r="G22" s="1"/>
  <c r="I20"/>
  <c r="I22" s="1"/>
  <c r="F58" i="4"/>
  <c r="F59" i="1" s="1"/>
  <c r="H20" i="5"/>
  <c r="Q9" i="6"/>
  <c r="Q13" s="1"/>
  <c r="AE9"/>
  <c r="K13"/>
  <c r="F90" i="17" l="1"/>
  <c r="J90" s="1"/>
  <c r="F118"/>
  <c r="J118" s="1"/>
  <c r="F66"/>
  <c r="J66" s="1"/>
  <c r="J52"/>
  <c r="J34"/>
  <c r="F64"/>
  <c r="F51"/>
  <c r="J50"/>
  <c r="I21" i="5"/>
  <c r="J23" s="1"/>
  <c r="E7" i="14"/>
  <c r="E8" s="1"/>
  <c r="E59" i="1"/>
  <c r="F6"/>
  <c r="E58" i="4"/>
  <c r="G21" i="5"/>
  <c r="H23" s="1"/>
  <c r="H22"/>
  <c r="AF9" i="6"/>
  <c r="AE13"/>
  <c r="H24" i="5" l="1"/>
  <c r="J51" i="17"/>
  <c r="F53"/>
  <c r="J103" s="1"/>
  <c r="F65"/>
  <c r="J65" s="1"/>
  <c r="J64"/>
  <c r="E61" i="1"/>
  <c r="D7" i="14"/>
  <c r="D8" s="1"/>
  <c r="AF13" i="6"/>
  <c r="AE15"/>
  <c r="AF15" s="1"/>
  <c r="F41" i="4"/>
  <c r="F42" i="1" s="1"/>
  <c r="F72" i="4"/>
  <c r="E72"/>
  <c r="D72"/>
  <c r="G70"/>
  <c r="G71"/>
  <c r="G73"/>
  <c r="G74"/>
  <c r="G69"/>
  <c r="J53" i="17" l="1"/>
  <c r="F67"/>
  <c r="E42" i="1"/>
  <c r="G72" i="4"/>
  <c r="G58"/>
  <c r="G60" s="1"/>
  <c r="G57"/>
  <c r="G35"/>
  <c r="G29"/>
  <c r="G28"/>
  <c r="G27"/>
  <c r="G26"/>
  <c r="G25"/>
  <c r="G23"/>
  <c r="G13"/>
  <c r="G12"/>
  <c r="G14"/>
  <c r="G10"/>
  <c r="G5"/>
  <c r="J67" i="17" l="1"/>
  <c r="F55" i="16"/>
  <c r="J55" s="1"/>
  <c r="G15" i="4"/>
  <c r="G30"/>
  <c r="G36" s="1"/>
  <c r="G61"/>
  <c r="G62" s="1"/>
  <c r="C58" i="1"/>
  <c r="C44" s="1"/>
  <c r="C46" s="1"/>
  <c r="C47" s="1"/>
  <c r="C62" l="1"/>
  <c r="C63" s="1"/>
  <c r="F24" i="4" l="1"/>
  <c r="F25" i="1" s="1"/>
  <c r="F22" i="4"/>
  <c r="F21"/>
  <c r="F22" i="1" s="1"/>
  <c r="F19" i="4"/>
  <c r="F18"/>
  <c r="F17"/>
  <c r="F12"/>
  <c r="F13" i="1" s="1"/>
  <c r="F12"/>
  <c r="F9" i="4"/>
  <c r="F8"/>
  <c r="F60"/>
  <c r="F44" s="1"/>
  <c r="E60"/>
  <c r="E44" s="1"/>
  <c r="D60"/>
  <c r="D44" s="1"/>
  <c r="D57"/>
  <c r="F35"/>
  <c r="F36" i="1" s="1"/>
  <c r="F26" i="4"/>
  <c r="F27" i="1" s="1"/>
  <c r="F25" i="4"/>
  <c r="F26" i="1" s="1"/>
  <c r="F20" i="4"/>
  <c r="F21" i="1" s="1"/>
  <c r="F14" i="4"/>
  <c r="F15" i="1" s="1"/>
  <c r="A14" i="4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F13"/>
  <c r="F14" i="1" s="1"/>
  <c r="D10" i="4"/>
  <c r="E10" s="1"/>
  <c r="F10" s="1"/>
  <c r="E5"/>
  <c r="D5"/>
  <c r="K21" i="1"/>
  <c r="K24"/>
  <c r="K26"/>
  <c r="K29"/>
  <c r="K28"/>
  <c r="K11"/>
  <c r="K13"/>
  <c r="K15" s="1"/>
  <c r="K14"/>
  <c r="F33" i="3"/>
  <c r="F32"/>
  <c r="F30"/>
  <c r="F28"/>
  <c r="G20"/>
  <c r="B20"/>
  <c r="L19"/>
  <c r="M19" s="1"/>
  <c r="D19"/>
  <c r="L18"/>
  <c r="D18"/>
  <c r="N18" s="1"/>
  <c r="M18" s="1"/>
  <c r="L17"/>
  <c r="D17"/>
  <c r="J16"/>
  <c r="I16"/>
  <c r="H16"/>
  <c r="G16"/>
  <c r="E16"/>
  <c r="B16"/>
  <c r="L15"/>
  <c r="D15"/>
  <c r="N15" s="1"/>
  <c r="L14"/>
  <c r="D14"/>
  <c r="N13"/>
  <c r="L13"/>
  <c r="I12"/>
  <c r="G12"/>
  <c r="B12"/>
  <c r="L11"/>
  <c r="D11"/>
  <c r="N11" s="1"/>
  <c r="L10"/>
  <c r="D10"/>
  <c r="N10" s="1"/>
  <c r="L9"/>
  <c r="D9"/>
  <c r="I8"/>
  <c r="H8"/>
  <c r="G8"/>
  <c r="B8"/>
  <c r="L7"/>
  <c r="D7"/>
  <c r="N7" s="1"/>
  <c r="L6"/>
  <c r="D6"/>
  <c r="N6" s="1"/>
  <c r="L5"/>
  <c r="D5"/>
  <c r="J1058" i="2"/>
  <c r="J1059" s="1"/>
  <c r="I1058"/>
  <c r="M15" i="3" l="1"/>
  <c r="J19" i="18"/>
  <c r="F69" i="16"/>
  <c r="J69" s="1"/>
  <c r="F77"/>
  <c r="J77" s="1"/>
  <c r="J9" i="18"/>
  <c r="J24"/>
  <c r="F73" i="16"/>
  <c r="J73" s="1"/>
  <c r="J18" i="18"/>
  <c r="F67" i="16"/>
  <c r="J67" s="1"/>
  <c r="G21" i="3"/>
  <c r="E14" i="1"/>
  <c r="E25"/>
  <c r="E15"/>
  <c r="E36"/>
  <c r="E13"/>
  <c r="E22"/>
  <c r="E21"/>
  <c r="E27"/>
  <c r="E26"/>
  <c r="E10" i="14"/>
  <c r="E12" i="1"/>
  <c r="D10" i="14" s="1"/>
  <c r="D16" i="3"/>
  <c r="D12"/>
  <c r="F23" i="1"/>
  <c r="A31" i="4"/>
  <c r="A32" s="1"/>
  <c r="A34" s="1"/>
  <c r="A35" s="1"/>
  <c r="A37" s="1"/>
  <c r="A38" s="1"/>
  <c r="A40" s="1"/>
  <c r="A41" s="1"/>
  <c r="A42" s="1"/>
  <c r="L16" i="3"/>
  <c r="D20"/>
  <c r="D8"/>
  <c r="M13"/>
  <c r="L20"/>
  <c r="I21"/>
  <c r="N17"/>
  <c r="N20" s="1"/>
  <c r="N9"/>
  <c r="N12" s="1"/>
  <c r="D15" i="4"/>
  <c r="D48" s="1"/>
  <c r="E15"/>
  <c r="E48" s="1"/>
  <c r="F5"/>
  <c r="M7" i="3"/>
  <c r="M6"/>
  <c r="L8"/>
  <c r="M10"/>
  <c r="L12"/>
  <c r="B21"/>
  <c r="M11"/>
  <c r="F28" i="4"/>
  <c r="F29" i="1" s="1"/>
  <c r="F29" i="4"/>
  <c r="F30" i="1" s="1"/>
  <c r="F27" i="4"/>
  <c r="F28" i="1" s="1"/>
  <c r="F11"/>
  <c r="D30" i="4"/>
  <c r="D36" s="1"/>
  <c r="G48" i="2" s="1"/>
  <c r="G49" s="1"/>
  <c r="D43" i="4"/>
  <c r="D45" s="1"/>
  <c r="D47"/>
  <c r="N5" i="3"/>
  <c r="N14"/>
  <c r="I9" i="18" l="1"/>
  <c r="E77" i="16"/>
  <c r="I77" s="1"/>
  <c r="I18" i="18"/>
  <c r="E67" i="16"/>
  <c r="I67" s="1"/>
  <c r="I24" i="18"/>
  <c r="E73" i="16"/>
  <c r="E69"/>
  <c r="I69" s="1"/>
  <c r="I19" i="18"/>
  <c r="N30" i="1"/>
  <c r="J23" i="18"/>
  <c r="F68" i="16"/>
  <c r="J68" s="1"/>
  <c r="J22" i="18"/>
  <c r="F70" i="16"/>
  <c r="J70" s="1"/>
  <c r="J7" i="18"/>
  <c r="F79" i="16"/>
  <c r="N16" i="3"/>
  <c r="E23" i="4"/>
  <c r="E23" i="1"/>
  <c r="E29"/>
  <c r="E30"/>
  <c r="E28"/>
  <c r="O26"/>
  <c r="E11"/>
  <c r="E9" i="14"/>
  <c r="M17" i="3"/>
  <c r="C26"/>
  <c r="E52" i="4" s="1"/>
  <c r="D21" i="3"/>
  <c r="D26" s="1"/>
  <c r="M9"/>
  <c r="D37" i="4"/>
  <c r="D49"/>
  <c r="D50" s="1"/>
  <c r="L21" i="3"/>
  <c r="E47" i="4"/>
  <c r="F47"/>
  <c r="F15"/>
  <c r="N8" i="3"/>
  <c r="M5"/>
  <c r="M14"/>
  <c r="C31" l="1"/>
  <c r="C34" s="1"/>
  <c r="I22" i="18"/>
  <c r="E70" i="16"/>
  <c r="I70" s="1"/>
  <c r="N26" i="1"/>
  <c r="I23" i="18"/>
  <c r="E68" i="16"/>
  <c r="I68" s="1"/>
  <c r="F71"/>
  <c r="J71" s="1"/>
  <c r="J20" i="18"/>
  <c r="J79" i="16"/>
  <c r="D9" i="14"/>
  <c r="E16" i="1"/>
  <c r="C21" i="3"/>
  <c r="D40" i="4"/>
  <c r="D42" s="1"/>
  <c r="H49" i="2"/>
  <c r="H50" s="1"/>
  <c r="H51" s="1"/>
  <c r="F48" i="4"/>
  <c r="E57"/>
  <c r="E43" s="1"/>
  <c r="F52"/>
  <c r="F23"/>
  <c r="E30"/>
  <c r="F26" i="3"/>
  <c r="D31"/>
  <c r="N21"/>
  <c r="M21" s="1"/>
  <c r="E2" i="14" l="1"/>
  <c r="D2" s="1"/>
  <c r="D4" s="1"/>
  <c r="I20" i="18"/>
  <c r="E71" i="16"/>
  <c r="I71" s="1"/>
  <c r="E79"/>
  <c r="E31"/>
  <c r="I7" i="18"/>
  <c r="I8"/>
  <c r="E4" i="14"/>
  <c r="J6" s="1"/>
  <c r="L6" s="1"/>
  <c r="E36" i="4"/>
  <c r="E37" s="1"/>
  <c r="E40" s="1"/>
  <c r="E42" s="1"/>
  <c r="E45"/>
  <c r="F53" i="1"/>
  <c r="F57" i="4"/>
  <c r="F24" i="1"/>
  <c r="F30" i="4"/>
  <c r="F36" s="1"/>
  <c r="F37" s="1"/>
  <c r="D34" i="3"/>
  <c r="F34" s="1"/>
  <c r="F31"/>
  <c r="D6" i="14" l="1"/>
  <c r="D20" s="1"/>
  <c r="F16" i="18"/>
  <c r="F31" s="1"/>
  <c r="J14"/>
  <c r="E10"/>
  <c r="E29" i="16"/>
  <c r="I29" s="1"/>
  <c r="I31"/>
  <c r="I79"/>
  <c r="E53" i="1"/>
  <c r="E58" s="1"/>
  <c r="E62" s="1"/>
  <c r="E63" s="1"/>
  <c r="E6" i="14"/>
  <c r="E20" s="1"/>
  <c r="E24" i="1"/>
  <c r="E49" i="4"/>
  <c r="E50" s="1"/>
  <c r="F43"/>
  <c r="F45" s="1"/>
  <c r="F46" s="1"/>
  <c r="F61"/>
  <c r="F62" s="1"/>
  <c r="F31" i="1"/>
  <c r="F49" i="4"/>
  <c r="F50" s="1"/>
  <c r="F40"/>
  <c r="F42" s="1"/>
  <c r="J61" i="1"/>
  <c r="J58"/>
  <c r="L58" s="1"/>
  <c r="J31"/>
  <c r="J16"/>
  <c r="E81" i="16" l="1"/>
  <c r="E16" i="18"/>
  <c r="E27" s="1"/>
  <c r="I14"/>
  <c r="F74" i="16"/>
  <c r="J66"/>
  <c r="J16" i="18"/>
  <c r="I10"/>
  <c r="J48" i="1"/>
  <c r="L61"/>
  <c r="L45" s="1"/>
  <c r="L48" s="1"/>
  <c r="J67"/>
  <c r="L16"/>
  <c r="J34"/>
  <c r="J37" s="1"/>
  <c r="J69" s="1"/>
  <c r="L31"/>
  <c r="L34" s="1"/>
  <c r="L37" s="1"/>
  <c r="L44"/>
  <c r="E31"/>
  <c r="E34" s="1"/>
  <c r="E37" s="1"/>
  <c r="E67"/>
  <c r="J63"/>
  <c r="J49"/>
  <c r="L46" l="1"/>
  <c r="L47" s="1"/>
  <c r="J38"/>
  <c r="J66" s="1"/>
  <c r="J70"/>
  <c r="L62"/>
  <c r="L63" s="1"/>
  <c r="L49"/>
  <c r="J74" i="16"/>
  <c r="I81"/>
  <c r="E82"/>
  <c r="J50" i="1"/>
  <c r="J68"/>
  <c r="J27" i="18"/>
  <c r="L31"/>
  <c r="I16"/>
  <c r="E74" i="16"/>
  <c r="I66"/>
  <c r="F51"/>
  <c r="J46"/>
  <c r="F83"/>
  <c r="J83" s="1"/>
  <c r="L38" i="1"/>
  <c r="L41" s="1"/>
  <c r="L43" s="1"/>
  <c r="L50"/>
  <c r="E70"/>
  <c r="E69"/>
  <c r="E38"/>
  <c r="E68"/>
  <c r="J51"/>
  <c r="F58"/>
  <c r="K58"/>
  <c r="K44" s="1"/>
  <c r="F61"/>
  <c r="K45"/>
  <c r="K48" s="1"/>
  <c r="F16"/>
  <c r="F34"/>
  <c r="D31"/>
  <c r="D34" s="1"/>
  <c r="D37" s="1"/>
  <c r="K31"/>
  <c r="D16"/>
  <c r="D67" s="1"/>
  <c r="K16"/>
  <c r="K67" s="1"/>
  <c r="A15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2" s="1"/>
  <c r="A33" s="1"/>
  <c r="A35" s="1"/>
  <c r="C16"/>
  <c r="C49" s="1"/>
  <c r="J51" i="16" l="1"/>
  <c r="L51" i="1"/>
  <c r="J41"/>
  <c r="J43" s="1"/>
  <c r="I82" i="16"/>
  <c r="K46" i="1"/>
  <c r="K47" s="1"/>
  <c r="E51" i="16"/>
  <c r="I46"/>
  <c r="E83"/>
  <c r="I83" s="1"/>
  <c r="I74"/>
  <c r="I27" i="18"/>
  <c r="E29"/>
  <c r="J8"/>
  <c r="K34" i="1"/>
  <c r="K37" s="1"/>
  <c r="F67"/>
  <c r="F44"/>
  <c r="E41"/>
  <c r="E43" s="1"/>
  <c r="E66"/>
  <c r="F37"/>
  <c r="F69" s="1"/>
  <c r="F45"/>
  <c r="C67"/>
  <c r="D70"/>
  <c r="D69"/>
  <c r="D68"/>
  <c r="A36"/>
  <c r="A38" s="1"/>
  <c r="A39" s="1"/>
  <c r="A41" s="1"/>
  <c r="A42" s="1"/>
  <c r="A43" s="1"/>
  <c r="F62"/>
  <c r="K49"/>
  <c r="K62"/>
  <c r="K63" s="1"/>
  <c r="D38"/>
  <c r="C31"/>
  <c r="C34" s="1"/>
  <c r="C37" s="1"/>
  <c r="C50" s="1"/>
  <c r="I51" i="16" l="1"/>
  <c r="F81"/>
  <c r="J10" i="18"/>
  <c r="F29"/>
  <c r="K70" i="1"/>
  <c r="K38"/>
  <c r="K66" s="1"/>
  <c r="K68"/>
  <c r="K50"/>
  <c r="K51" s="1"/>
  <c r="K69"/>
  <c r="F68"/>
  <c r="F38"/>
  <c r="F66" s="1"/>
  <c r="F70"/>
  <c r="F46"/>
  <c r="E46" s="1"/>
  <c r="E44"/>
  <c r="F63"/>
  <c r="F50"/>
  <c r="F48"/>
  <c r="E45"/>
  <c r="F49"/>
  <c r="C68"/>
  <c r="C70"/>
  <c r="C69"/>
  <c r="D41"/>
  <c r="D43" s="1"/>
  <c r="D66"/>
  <c r="C51"/>
  <c r="C38"/>
  <c r="C66" s="1"/>
  <c r="K41" l="1"/>
  <c r="K43" s="1"/>
  <c r="J81" i="16"/>
  <c r="F82"/>
  <c r="F41" i="1"/>
  <c r="F43" s="1"/>
  <c r="F47"/>
  <c r="F51"/>
  <c r="E47"/>
  <c r="E48"/>
  <c r="E49"/>
  <c r="E50"/>
  <c r="C41"/>
  <c r="C43" s="1"/>
  <c r="AH85" i="16" l="1"/>
  <c r="J82"/>
  <c r="AH83"/>
  <c r="E51" i="1"/>
  <c r="I23" i="16" l="1"/>
  <c r="B7" i="9" l="1"/>
  <c r="C7" s="1"/>
  <c r="C8" s="1"/>
  <c r="F8"/>
  <c r="E11" i="14" s="1"/>
  <c r="B8" i="9" l="1"/>
  <c r="E12" i="14"/>
  <c r="E14"/>
  <c r="D11"/>
  <c r="D14" s="1"/>
  <c r="D15" s="1"/>
  <c r="D19" s="1"/>
  <c r="D21" s="1"/>
  <c r="D7" i="9"/>
  <c r="D24" i="14" l="1"/>
  <c r="D22"/>
  <c r="D23" s="1"/>
  <c r="E15"/>
  <c r="E19" s="1"/>
  <c r="E21" s="1"/>
  <c r="D8" i="9"/>
  <c r="E7"/>
  <c r="E8" s="1"/>
  <c r="E22" i="14" l="1"/>
  <c r="E23" s="1"/>
  <c r="E24"/>
  <c r="F57" i="17"/>
  <c r="J43"/>
  <c r="E57"/>
  <c r="F46"/>
  <c r="F60" s="1"/>
  <c r="F54" l="1"/>
  <c r="F54" i="16"/>
  <c r="J54" s="1"/>
  <c r="J60" i="17"/>
  <c r="I57"/>
  <c r="J57"/>
  <c r="J46"/>
  <c r="I43"/>
  <c r="E46"/>
  <c r="J54" l="1"/>
  <c r="F68"/>
  <c r="F69" s="1"/>
  <c r="J31" i="16"/>
  <c r="E60" i="17"/>
  <c r="E54"/>
  <c r="I46"/>
  <c r="E104"/>
  <c r="E93"/>
  <c r="J68" l="1"/>
  <c r="F56" i="16"/>
  <c r="F29"/>
  <c r="J29" s="1"/>
  <c r="I93" i="17"/>
  <c r="E96"/>
  <c r="F93"/>
  <c r="J93" s="1"/>
  <c r="F104"/>
  <c r="J104" s="1"/>
  <c r="I104"/>
  <c r="I54"/>
  <c r="E68"/>
  <c r="E69" s="1"/>
  <c r="I69" s="1"/>
  <c r="E54" i="16"/>
  <c r="I54" s="1"/>
  <c r="I60" i="17"/>
  <c r="J56" i="16" l="1"/>
  <c r="M56"/>
  <c r="I68" i="17"/>
  <c r="E56" i="16"/>
  <c r="F96" i="17"/>
  <c r="J96" s="1"/>
  <c r="I96"/>
  <c r="F34" i="16"/>
  <c r="F32" s="1"/>
  <c r="I56" l="1"/>
  <c r="L56"/>
  <c r="J32"/>
  <c r="E32"/>
  <c r="I32" s="1"/>
  <c r="E34"/>
  <c r="J34"/>
  <c r="J35" s="1"/>
  <c r="I34" l="1"/>
  <c r="E35"/>
  <c r="AG35" l="1"/>
  <c r="I35"/>
</calcChain>
</file>

<file path=xl/sharedStrings.xml><?xml version="1.0" encoding="utf-8"?>
<sst xmlns="http://schemas.openxmlformats.org/spreadsheetml/2006/main" count="2720" uniqueCount="1726">
  <si>
    <t>Sr. No.</t>
  </si>
  <si>
    <t>Particulars</t>
  </si>
  <si>
    <t>DGVCL</t>
  </si>
  <si>
    <t>INCOME</t>
  </si>
  <si>
    <r>
      <t>Units sold  (in</t>
    </r>
    <r>
      <rPr>
        <b/>
        <sz val="12"/>
        <color indexed="8"/>
        <rFont val="Arial"/>
        <family val="2"/>
      </rPr>
      <t xml:space="preserve"> millions</t>
    </r>
    <r>
      <rPr>
        <sz val="12"/>
        <color indexed="8"/>
        <rFont val="Arial"/>
        <family val="2"/>
      </rPr>
      <t>)</t>
    </r>
  </si>
  <si>
    <r>
      <t>Units sold  (in</t>
    </r>
    <r>
      <rPr>
        <b/>
        <sz val="12"/>
        <color indexed="8"/>
        <rFont val="Arial"/>
        <family val="2"/>
      </rPr>
      <t xml:space="preserve"> millions</t>
    </r>
    <r>
      <rPr>
        <sz val="12"/>
        <color indexed="8"/>
        <rFont val="Arial"/>
        <family val="2"/>
      </rPr>
      <t>) to DISCOMs</t>
    </r>
  </si>
  <si>
    <t xml:space="preserve"> </t>
  </si>
  <si>
    <t>Sale of Power to DISCOMs</t>
  </si>
  <si>
    <t>Sale of Power to GUVNL</t>
  </si>
  <si>
    <t>Sale of Power / Fly Ash</t>
  </si>
  <si>
    <t>U I Income</t>
  </si>
  <si>
    <t>Revenue Subsidy (H P Based)</t>
  </si>
  <si>
    <t>Other Operating Revenue</t>
  </si>
  <si>
    <t xml:space="preserve">Other Income </t>
  </si>
  <si>
    <t>TOTAL INCOME</t>
  </si>
  <si>
    <t>EXPENDITURE</t>
  </si>
  <si>
    <t>Purchase of Power from GSECL</t>
  </si>
  <si>
    <t>Purchase of Power from DISCOMs</t>
  </si>
  <si>
    <t>Transmission Charges to GETCO</t>
  </si>
  <si>
    <t>Purchase of Power from Others</t>
  </si>
  <si>
    <t>Transmission Charges to PGCIL &amp; Others</t>
  </si>
  <si>
    <t>U I Expenditure</t>
  </si>
  <si>
    <t>Purchase of Power from GUVNL</t>
  </si>
  <si>
    <t>Fuel Expenses</t>
  </si>
  <si>
    <t>Repairs &amp; Maintenance</t>
  </si>
  <si>
    <t>Employees Benefits Expenses</t>
  </si>
  <si>
    <t>Finance Costs</t>
  </si>
  <si>
    <t xml:space="preserve">Depreciation </t>
  </si>
  <si>
    <t>Administration and Other Expenses</t>
  </si>
  <si>
    <t>Sub-Total</t>
  </si>
  <si>
    <t>Exceptional Items</t>
  </si>
  <si>
    <t>Other Debits</t>
  </si>
  <si>
    <t xml:space="preserve">TOTAL EXPENDITURE </t>
  </si>
  <si>
    <t>PROFIT /(LOSS) BEFORE TAX</t>
  </si>
  <si>
    <t xml:space="preserve">Provision for Income Tax - Current Tax </t>
  </si>
  <si>
    <t xml:space="preserve">                                            - Deferred Tax </t>
  </si>
  <si>
    <t xml:space="preserve">PROFIT /(LOSS) AFTER TAX </t>
  </si>
  <si>
    <t xml:space="preserve">Other Comprehensive Income </t>
  </si>
  <si>
    <t xml:space="preserve">Total Comprehensive Income for the Year </t>
  </si>
  <si>
    <t>Power purchase      (M Us)</t>
  </si>
  <si>
    <t>Power Sold               (M Us)</t>
  </si>
  <si>
    <t>Units Loss              (M Us)</t>
  </si>
  <si>
    <t>T &amp; D Losses    (%)</t>
  </si>
  <si>
    <t>Average Realisation on Rev. from sale of power    (Rs. / Unit)</t>
  </si>
  <si>
    <t>Average Realisation on total income (Rs./ Unit)</t>
  </si>
  <si>
    <t>Cost to Serve             (Rs. / Unit)</t>
  </si>
  <si>
    <t>PROFIT   (Rs. Crs. / UNIT)</t>
  </si>
  <si>
    <t>Power Purchase from Others (M Us)</t>
  </si>
  <si>
    <t>Power Purchase from GSECL/GUVNL (M Us)</t>
  </si>
  <si>
    <t>Power Purchase from DISCOMs (M Us)</t>
  </si>
  <si>
    <t>U I Imports</t>
  </si>
  <si>
    <t>Less: Power Sold to GUVNL</t>
  </si>
  <si>
    <t>Less: U I Exports</t>
  </si>
  <si>
    <t>NET POWER PURCHASED</t>
  </si>
  <si>
    <t>Power Sold to Others   (M Us)</t>
  </si>
  <si>
    <t>Power Sold to DISCOMs   (M Us)</t>
  </si>
  <si>
    <t>TOTAL</t>
  </si>
  <si>
    <t>Units Loss       (M Us)</t>
  </si>
  <si>
    <t>Quarter ended 30.09.2022</t>
  </si>
  <si>
    <t>Previous year ended 31.03.2022</t>
  </si>
  <si>
    <t>(₹ in crores)</t>
  </si>
  <si>
    <t>Acc Code</t>
  </si>
  <si>
    <t>Account Description</t>
  </si>
  <si>
    <t>Opening</t>
  </si>
  <si>
    <t>Debit</t>
  </si>
  <si>
    <t>Credit</t>
  </si>
  <si>
    <t>Closing</t>
  </si>
  <si>
    <t>FIXED ASSETS</t>
  </si>
  <si>
    <t>OTHER CAPITAL EXPENDITURE/FIXED ASTS</t>
  </si>
  <si>
    <t>PROV FOR DEP ON FIXED ASTS</t>
  </si>
  <si>
    <t>PROV FOR DEP ON CAPITAL EXP/F.AST</t>
  </si>
  <si>
    <t>CAPITAL WORK-IN-PROGRESS</t>
  </si>
  <si>
    <t>OTHER ACCNTS FOR ASTS AT CONST-STAGE</t>
  </si>
  <si>
    <t>ASTS NOT IN USE</t>
  </si>
  <si>
    <t>CAPITAL WORK-IN-PROGRESS(CWIP)</t>
  </si>
  <si>
    <t>INVESTMENTS</t>
  </si>
  <si>
    <t>MATERIALS STOCK &amp; RELATED ACCOUNTS</t>
  </si>
  <si>
    <t>RECEIVABLES AGAINST SUPPLY OF PWR</t>
  </si>
  <si>
    <t>CASH AND BANK</t>
  </si>
  <si>
    <t>ADV.TO SUPPLIER/CONTRACTRS (CAPITAL)</t>
  </si>
  <si>
    <t>ADVS TO SUPPLIERS/CONTRACTORS (O&amp;M)</t>
  </si>
  <si>
    <t>OTHER LOANS &amp; ADVS.</t>
  </si>
  <si>
    <t>S RECEIVABLES</t>
  </si>
  <si>
    <t>INTER COMPANY TRANSACTION</t>
  </si>
  <si>
    <t>Fixed Assets - IndAS Transition Adjustments</t>
  </si>
  <si>
    <t>Provision for Depriciation on Fixed Assets-IndAS T</t>
  </si>
  <si>
    <t>INTER-UNIT ACCOUNTS</t>
  </si>
  <si>
    <t>LIABILITY FOR PURCHASE OF POWER</t>
  </si>
  <si>
    <t>LIABLTY FR CAPITAL SUPPLIES/WORKS</t>
  </si>
  <si>
    <t>LIABLTY FR O&amp;M SUPPLIES/WORKS</t>
  </si>
  <si>
    <t>STAFF-RELATED LIABILITIES &amp; PROVS</t>
  </si>
  <si>
    <t>WELFARE SCHEMES</t>
  </si>
  <si>
    <t>OTHER LIABILITES AND PROVS.</t>
  </si>
  <si>
    <t>DEPOSITS FOR ELECTRIFICATION/SERVICE CONN.</t>
  </si>
  <si>
    <t>SECURITY DEPOSITS FROM CONSUMERS</t>
  </si>
  <si>
    <t>Deferred Tax Liability.</t>
  </si>
  <si>
    <t>BOROWNGS FR WORKING CAPITAL</t>
  </si>
  <si>
    <t>PAYMENTS DUE ON CAPITAL LIABILITIES</t>
  </si>
  <si>
    <t>CAP.LIABILTIES-OTHR THAN STATE GOVT LOAN</t>
  </si>
  <si>
    <t>CAPITAL LIABILITIES</t>
  </si>
  <si>
    <t>FUNDS FROM STATE GOVERNMENT</t>
  </si>
  <si>
    <t>CONTRI GRNTS &amp; SUB.TOWRDS COST OF CAP-ASETS</t>
  </si>
  <si>
    <t>SURPLUS</t>
  </si>
  <si>
    <t>SHARE CAPITAL</t>
  </si>
  <si>
    <t>REVENUE FROM SALE OF POWER.</t>
  </si>
  <si>
    <t>OTHER INCOME</t>
  </si>
  <si>
    <t>Inter-Company Sale of Material</t>
  </si>
  <si>
    <t>POWER PURCHASED</t>
  </si>
  <si>
    <t>DUMMY</t>
  </si>
  <si>
    <t>REPAIRS AND MAINTENANCE</t>
  </si>
  <si>
    <t>EMPLOYEE COSTS</t>
  </si>
  <si>
    <t>ADMINISTRATION AND GEN.EXPENSES</t>
  </si>
  <si>
    <t>DEP.&amp; OTHR ASETS-RELATED COSTS &amp; LOSES</t>
  </si>
  <si>
    <t>INT. AND OTHER FINANCE CHRGS</t>
  </si>
  <si>
    <t>OTHER DEBITS TO REVENUE ACCOUNT</t>
  </si>
  <si>
    <t>M.A/CS FR REC. NO OF UNITS-PWR SOLD ETC</t>
  </si>
  <si>
    <t>LAND &amp; LAND RIGHTS</t>
  </si>
  <si>
    <t>BUILDINGS</t>
  </si>
  <si>
    <t>HYDRAULIC WORKS.</t>
  </si>
  <si>
    <t>OTHER CIVIL WORKS</t>
  </si>
  <si>
    <t>PLANT &amp; MACHINERY</t>
  </si>
  <si>
    <t>LINES &amp; CABLE NET-WORK</t>
  </si>
  <si>
    <t>VEHICLES</t>
  </si>
  <si>
    <t>FURNITURE-FIX &amp; ELECT-LIGHT&amp; FAN INST.</t>
  </si>
  <si>
    <t>OFFICE EQUIPMENT</t>
  </si>
  <si>
    <t>ASSETS TRF INWORD</t>
  </si>
  <si>
    <t>P.F.D.-LEASEHOLD LAND &amp; DEVP COSTS</t>
  </si>
  <si>
    <t>PROV FOR DEP-BLDGS</t>
  </si>
  <si>
    <t>PROV FOR DEP-HYDRAULIC WORKS</t>
  </si>
  <si>
    <t>PROV FOR DEP-OTHER CIVIL WORKS</t>
  </si>
  <si>
    <t>PROV FOR DEP-PLANT &amp; MACHINERY</t>
  </si>
  <si>
    <t>PROV FOR DEP-LINES &amp; CABLE NET-WORK.</t>
  </si>
  <si>
    <t>PROV FOR DEP-VEHICLES.</t>
  </si>
  <si>
    <t>PROV FOR DEP-FURNITURE FIX ETC.</t>
  </si>
  <si>
    <t>PROV FOR DEP-OFFICE EQUIPMENT.</t>
  </si>
  <si>
    <t>PROV FOR DEP ON ASTS TRF INWARD</t>
  </si>
  <si>
    <t>CWIP-GENERATION</t>
  </si>
  <si>
    <t>CAPITAL WK-IN-PROGRESS-GENERATION</t>
  </si>
  <si>
    <t>CAPITAL WK-IN-PROGRESS-TRANSMISSION</t>
  </si>
  <si>
    <t>CWIP-TRANSMISSION</t>
  </si>
  <si>
    <t>CAPITAL WK-IN-PROGRESS-DISTRIBUTION.</t>
  </si>
  <si>
    <t>CAPITAL WK-IN-PROGRESS-DISTRIBUTION</t>
  </si>
  <si>
    <t>CAPITAL WKS-IN-PROGRESS-MISC</t>
  </si>
  <si>
    <t>REV EXP RECL PEN ALLO OVR CAP WKS</t>
  </si>
  <si>
    <t>UNBILLED CAPITAL WK-IN-PROGRESS</t>
  </si>
  <si>
    <t>W D V OF OBSOLETE/SCRAPPED ASSETS</t>
  </si>
  <si>
    <t>CWIP-DISTRIBUTION</t>
  </si>
  <si>
    <t>INVESTMENTS OTHER THAN FUND INVESTMENTS</t>
  </si>
  <si>
    <t>MATERIALS PURCHASE / FABRICATION</t>
  </si>
  <si>
    <t>MATERIALS ISSUES</t>
  </si>
  <si>
    <t>MATERIALS TRANSFER</t>
  </si>
  <si>
    <t>MATERIALS STOCK ADJUSTMENT</t>
  </si>
  <si>
    <t>MATERIALS STOCK</t>
  </si>
  <si>
    <t>OTHER MATERIALS RELATED ACCOUNTS</t>
  </si>
  <si>
    <t>MAT.STOCK EXCESS/SHORTAGE PENDNG INVSTG</t>
  </si>
  <si>
    <t>SUNDRY DEBTORS FOR SALE OF PWR</t>
  </si>
  <si>
    <t>SUNDRY DEBTORS COLLECTIONS ACCOUNT</t>
  </si>
  <si>
    <t>PROV FOR UNBILLED REVENUE</t>
  </si>
  <si>
    <t>DUES FROM PERMANENTLY DISCON. CONSUMERS.</t>
  </si>
  <si>
    <t>S DEBTORS-MISC.RECPTS FROM CONSUMER</t>
  </si>
  <si>
    <t>PROV FOR DOUBTFUL DUES FROM CONSUMR</t>
  </si>
  <si>
    <t>CASH</t>
  </si>
  <si>
    <t>CASH IMPREST WITH STAFF</t>
  </si>
  <si>
    <t>COLLECTION BANK</t>
  </si>
  <si>
    <t>DISBURSEMENT BANK</t>
  </si>
  <si>
    <t>REMITANCE-IN-TRANSIT TO H.O.</t>
  </si>
  <si>
    <t>ADVS TO SUPPLIERS (CAP)-INTEST FREE.</t>
  </si>
  <si>
    <t>ADV.TO SUPPLIERS (O&amp;M)-INT-FREE</t>
  </si>
  <si>
    <t>LOANS &amp; ADV. TO STAFF-INT-BEARING</t>
  </si>
  <si>
    <t>LOANS &amp; ADVS TO STAFF-INT-FREE</t>
  </si>
  <si>
    <t>ADV I-TAX &amp; T.D.S.</t>
  </si>
  <si>
    <t>LOANS AND ADV-OTHERS</t>
  </si>
  <si>
    <t>INCOME ACRUED AND DUE</t>
  </si>
  <si>
    <t>INCOME ACRUED B.N.D.</t>
  </si>
  <si>
    <t>AMTS RECOVERABLE FRM EMP/EX-EMPLOYEE</t>
  </si>
  <si>
    <t>FUEL RELATED RECEIVABLES AND CLAIMS</t>
  </si>
  <si>
    <t>SUBSIDY / GRANTS RECEIVABLE</t>
  </si>
  <si>
    <t>OTHER RECEIVABLES</t>
  </si>
  <si>
    <t>DEPOSITS</t>
  </si>
  <si>
    <t>INTER-UNIT A/C</t>
  </si>
  <si>
    <t>SUNDRY CREDITORS FOR PURCHASE OF POWER</t>
  </si>
  <si>
    <t>Sundry Creditors for Power purchased by DISCOMS</t>
  </si>
  <si>
    <t>LIABLTY FR SUPPLY OF MATERIALS-CAP.</t>
  </si>
  <si>
    <t>PROVSN FR LIABLTY FR WORKS (CAPITAL)</t>
  </si>
  <si>
    <t>LIABLTY FR SUPPLY OF MATERIALS (O&amp;M)</t>
  </si>
  <si>
    <t>SUPPLIER-S CONTROL (O&amp;M)</t>
  </si>
  <si>
    <t>CONTRACTOR-S CONTROL (O&amp;M)</t>
  </si>
  <si>
    <t>PROV FR LIABLTY FR WORKS (O&amp;M)</t>
  </si>
  <si>
    <t>STAFF-RELATED PROVISIONS</t>
  </si>
  <si>
    <t>UNPAID SALARIES WAGES BONUSETC PAYABLE</t>
  </si>
  <si>
    <t>SALARIES WAGES BONUS ETC.PAYABLE</t>
  </si>
  <si>
    <t>STAFF DEDUCTIONS &amp; RECOVERIES PAYABLE</t>
  </si>
  <si>
    <t>STAFF WELFARE FUND</t>
  </si>
  <si>
    <t>STAFF VOLUNTARY RETIREMENT /DEATH BENEVOLENT FUND</t>
  </si>
  <si>
    <t>DEPOSITS-SUPLIERS/CONTRACTORS &amp; OTHRS.</t>
  </si>
  <si>
    <t>Advance/Deposits from State/Central Government/Hol</t>
  </si>
  <si>
    <t>ELE.DUTY TAX ON SALE OF ELE.PAYABLE-GOVT</t>
  </si>
  <si>
    <t>LIABILITY FOR EXPENSES</t>
  </si>
  <si>
    <t>ACRUED/UNCLAIMED AMTS TO BOROWNGS.</t>
  </si>
  <si>
    <t>PROVISION FOR INCOME TAX</t>
  </si>
  <si>
    <t>SUNDRY LIABILITIES &amp; PROVISIONS</t>
  </si>
  <si>
    <t>DEPOSITS FR ELECTRIFICATION OF VILLAGES</t>
  </si>
  <si>
    <t>DEPOSITS FR ELECT.OF IND.ESTATE</t>
  </si>
  <si>
    <t>DEPOSITS FOR SERVICE CONNECTIONS</t>
  </si>
  <si>
    <t>OTHER DEPOSITS FRM CONSUMERS</t>
  </si>
  <si>
    <t>S.D.FROM CONSUMERS IN CASH</t>
  </si>
  <si>
    <t>INT.PAYABLE ON CONS.SECURITY DEPOST</t>
  </si>
  <si>
    <t>CASH CREDIT FRM BANKS</t>
  </si>
  <si>
    <t>INT. ACCRUED AND DUE</t>
  </si>
  <si>
    <t>LOAN FROM PFC</t>
  </si>
  <si>
    <t>LOANS FRM N.A.B.A.R.D.</t>
  </si>
  <si>
    <t>STATE GOVT.LOANS U/S.64 OF E.S.ACT-1948.</t>
  </si>
  <si>
    <t>CONS.CONTRI. TOWARDS COST OF CAP ASET</t>
  </si>
  <si>
    <t>SUBSIDIES TOWARDS COST OF CAP. ASETS</t>
  </si>
  <si>
    <t>GRANTS TOWARDS COST OF CAP. ASETS</t>
  </si>
  <si>
    <t>RESERVE &amp; SURPLUS</t>
  </si>
  <si>
    <t>REVENUE ACCOUNT</t>
  </si>
  <si>
    <t>NET REVENUE &amp; APPROPRIATION ACCOUNT</t>
  </si>
  <si>
    <t>SHARE CAPITAL ACCOUNT</t>
  </si>
  <si>
    <t>REVENUE FRM SALE OF PWR-OTHER CNSMS.</t>
  </si>
  <si>
    <t>ELECTRICITY DUTY/TAX ON SALE OF ELECT.</t>
  </si>
  <si>
    <t>RENTAL FR MTRS SERVCE LINES CAPCITORS</t>
  </si>
  <si>
    <t>BOARD CHRGS FR THEFT/MALPRACTICES.</t>
  </si>
  <si>
    <t>WHEELING CHARGES INCOME</t>
  </si>
  <si>
    <t>MISCELLANEOUS CHRGS FRM CNSMS</t>
  </si>
  <si>
    <t>INCOME FRM LOANS ADVNCES INV. ETC</t>
  </si>
  <si>
    <t>INCOME FRM TRADING</t>
  </si>
  <si>
    <t>GAIN ON SALE OF FIXED ASETS</t>
  </si>
  <si>
    <t>INCOME FROM STAFF WELFARE ACTIVITIES</t>
  </si>
  <si>
    <t>MISCELLANEOUS RECEIPTS</t>
  </si>
  <si>
    <t>POWER PURCHAED</t>
  </si>
  <si>
    <t>PURCHASE OF RENEWABLE ENERGY CERTIFICATES</t>
  </si>
  <si>
    <t>Power Purchased (By DISCOMs)</t>
  </si>
  <si>
    <t>R &amp; M TO PLANT &amp; MACHI&amp;TRANS</t>
  </si>
  <si>
    <t>REPAIRS &amp; MAINTAINANCE TO BUILDINGS</t>
  </si>
  <si>
    <t>R &amp; M TO CIVIL WORKS</t>
  </si>
  <si>
    <t>R &amp; M TO LINES &amp; CABLE NET WORKS</t>
  </si>
  <si>
    <t>REPAIRS &amp; MAINTAINANCE TO VEHICLES</t>
  </si>
  <si>
    <t>REPAIRS &amp; MAINTAINANCE TO FURNITURE FIX ELCT.LIGHT</t>
  </si>
  <si>
    <t>R &amp; M TO OFFICE EQUIPMNT</t>
  </si>
  <si>
    <t>SALARIES WAGES</t>
  </si>
  <si>
    <t>OVER TIME</t>
  </si>
  <si>
    <t>DEARNESS ALLOWANCE</t>
  </si>
  <si>
    <t>OTHER ALLOWANCES.</t>
  </si>
  <si>
    <t>BONUS</t>
  </si>
  <si>
    <t>OTHER STAFF COSTS</t>
  </si>
  <si>
    <t>STAFF-WELFARE EXPENSES</t>
  </si>
  <si>
    <t>TERMINAL BENEFITS</t>
  </si>
  <si>
    <t>ADMINISTRATION EXPENSES</t>
  </si>
  <si>
    <t>MATERIALS-RELATED EXPENSES</t>
  </si>
  <si>
    <t>GENERAL EXPENSES</t>
  </si>
  <si>
    <t>DEPRICIATION &amp; AMORTISATION</t>
  </si>
  <si>
    <t>INT.ON OTHER LOANS/DEFERED PAYMENT-CR.</t>
  </si>
  <si>
    <t>INT. ON CNSM-S S.DEPOSITS</t>
  </si>
  <si>
    <t>OTHER INT. AND FINANCE CHRGS</t>
  </si>
  <si>
    <t>R &amp; D EXPENSE</t>
  </si>
  <si>
    <t>BAD&amp;DOUBTFUL DEBTS WRITEN OFF/PRVIDEDFR</t>
  </si>
  <si>
    <t>MISCELLANEOUS LOSSES &amp; WRITE-OFFS</t>
  </si>
  <si>
    <t>TOTAL UNITS</t>
  </si>
  <si>
    <t>UNITS PURCHASED CREDIT</t>
  </si>
  <si>
    <t>UNITS BILLED DEBIT</t>
  </si>
  <si>
    <t>UNITS SOLD BUT NT BILLED DEBIT</t>
  </si>
  <si>
    <t>LAND OWNED UNDER FULL TITLE</t>
  </si>
  <si>
    <t>COST OF TREE PLANTATION</t>
  </si>
  <si>
    <t>Lease Asset- Ind AS</t>
  </si>
  <si>
    <t>BLDGS. CONTAINING THERMO ELECT GEN PLANT</t>
  </si>
  <si>
    <t>BLDGS. CONTAINING DIST. INSTALLATIONS.</t>
  </si>
  <si>
    <t>OFFICE BLDGS.</t>
  </si>
  <si>
    <t>RESIDENTIAL COLONY FOR STAFF.</t>
  </si>
  <si>
    <t>TEMPORARY ERECTIONS</t>
  </si>
  <si>
    <t>OTHER BUILDINGS</t>
  </si>
  <si>
    <t>GUEST HOUSE BUILDING</t>
  </si>
  <si>
    <t>SWEET WATER ARRNGMENT INCL RESERVOIRS</t>
  </si>
  <si>
    <t>PLANT &amp; P.LINE FOR WATER SUPP- RES-COL</t>
  </si>
  <si>
    <t>DRAINAGE &amp; SEWERAGE- RES-COLONY</t>
  </si>
  <si>
    <t>ROADS</t>
  </si>
  <si>
    <t>MISC CIVIL WORKS</t>
  </si>
  <si>
    <t>TRNSFMRS HAVING RATING OF 100 KVA &amp; OVER</t>
  </si>
  <si>
    <t>OTHER TRANSFORMERS</t>
  </si>
  <si>
    <t>OTHER PLANT &amp; EQUIP S/S EQUFOR TRANS/DIST.</t>
  </si>
  <si>
    <t>SOLAR GENERATING EQUIPMENTS</t>
  </si>
  <si>
    <t>SPV Panels under-SKY Scheme (Debit)</t>
  </si>
  <si>
    <t>SPV Panels under-SKY Scheme (Credit)</t>
  </si>
  <si>
    <t>Solar Pump Set</t>
  </si>
  <si>
    <t>MATERIAL HANDLING EQUIPMENT-CRANES</t>
  </si>
  <si>
    <t>MATERIAL HANDLING EQUIPMENT-OTHERS</t>
  </si>
  <si>
    <t>SWITCH-GEAR INCLUDING CABLE CONNECTIONS</t>
  </si>
  <si>
    <t>BATTERIES INCLUDING CHARGING EQUIPMENT</t>
  </si>
  <si>
    <t>FABRICATION SHOP/WKSHOP PLANT&amp;EQUIPMENT</t>
  </si>
  <si>
    <t>LIGHTNING ARRESTORS (POLE TYPE)</t>
  </si>
  <si>
    <t>LIGHTNING ARRESTORS (STATION TYPE)</t>
  </si>
  <si>
    <t>COMU. EQIP RADIO&amp;HIGH FRQNCY CARRIER SYS</t>
  </si>
  <si>
    <t>COMU. EQUIP PHONE LINES &amp; PHONES.</t>
  </si>
  <si>
    <t>STATIC MACHINE TOOLS &amp; EQUIPMENT.</t>
  </si>
  <si>
    <t>AIR-CONDITIONING PLANT STATIC.</t>
  </si>
  <si>
    <t>AIR-CONDITIONING PLANT-PORTABLE</t>
  </si>
  <si>
    <t>REFRIGERATORS &amp; WATER COOLERS.</t>
  </si>
  <si>
    <t>METER TESTING LAB TOOLS &amp; EQUIP</t>
  </si>
  <si>
    <t>TOOLS &amp; TACKLES</t>
  </si>
  <si>
    <t>DEMONSTRATION EQUIPMENT</t>
  </si>
  <si>
    <t>LABORATORY EQUIPMENT AT T.P.S.</t>
  </si>
  <si>
    <t>SYNCHRONOUS CONDENSORS</t>
  </si>
  <si>
    <t>Solar System Under PM-Kusum-B Scheme (Debit)</t>
  </si>
  <si>
    <t>Solar System Under PM-Kusum-B Scheme (Credit)</t>
  </si>
  <si>
    <t>Solar Pump Grant &amp; Consumer Contribution</t>
  </si>
  <si>
    <t>OTHER MISC PLANT &amp; MACHINERY</t>
  </si>
  <si>
    <t>OVER-HEAD LNS OPERATING ABOVE 66 K.V.</t>
  </si>
  <si>
    <t>OVER-HEAD LNS OPRATNG FROM 13.2 TO 66KV</t>
  </si>
  <si>
    <t>OVER-HEAD LINES ON RCC SUPPORT-11KV</t>
  </si>
  <si>
    <t>OVER-HEAD LINES ON STEEL/RCC SUPPORT&lt;11KV</t>
  </si>
  <si>
    <t>OVER-HEAD LNS ON TREATED WD SUPPORTS</t>
  </si>
  <si>
    <t>U.G.C. INCLDNG JOINT BOXES 11KV</t>
  </si>
  <si>
    <t>U.G.C. CABLE DUCT SYSTEMS.</t>
  </si>
  <si>
    <t>U.G.C. INCLDNG JT.BOXES &lt; 11KV</t>
  </si>
  <si>
    <t>SERVICE CONNECTIONS-HIGH VOLTAGE</t>
  </si>
  <si>
    <t>SERVICE CONNECTIONS-MED&amp; LOW VOLTAGE</t>
  </si>
  <si>
    <t>METERING EQUIPMENT</t>
  </si>
  <si>
    <t>Meter Console under SKY Scheme</t>
  </si>
  <si>
    <t>Watchdog Equipment under SKY Scheme</t>
  </si>
  <si>
    <t>STREET LIGHTING AND SIGNAL SYSTEM</t>
  </si>
  <si>
    <t>MISC. EQUIPMENTS</t>
  </si>
  <si>
    <t>TRUCKS TEMPOS ETC.</t>
  </si>
  <si>
    <t>JEEPS TRCKKERS</t>
  </si>
  <si>
    <t>MOTOR CARS</t>
  </si>
  <si>
    <t>OTHER VEHICLES</t>
  </si>
  <si>
    <t>FURNITURE AND FIXTURES</t>
  </si>
  <si>
    <t>ELECT-WIRING LIGHT &amp; FAN INST.</t>
  </si>
  <si>
    <t>Other Furniture and Fixture</t>
  </si>
  <si>
    <t>OTHER OFFICE EQUIPMENTS</t>
  </si>
  <si>
    <t>CALCULATORS</t>
  </si>
  <si>
    <t>CASH REGISTREX MACHINE</t>
  </si>
  <si>
    <t>COMPUTERS &amp; COMPUTER RELATED EQUIPMENT</t>
  </si>
  <si>
    <t>DUPLICATING INSTRUMENTS</t>
  </si>
  <si>
    <t>PHOTO COPIER MACHINE</t>
  </si>
  <si>
    <t>FAX MACHINE</t>
  </si>
  <si>
    <t>ASSETS TRANSFER INWORD-DEB ITS.</t>
  </si>
  <si>
    <t>ASSETS TRANSFER INWARD-CREDITS</t>
  </si>
  <si>
    <t>Provision For Depreciation On Lease Hold Land and</t>
  </si>
  <si>
    <t>Provision For Depreciation On Hydraulic Works- In</t>
  </si>
  <si>
    <t>Provision For Depreciation On Other Civil Works- I</t>
  </si>
  <si>
    <t>PROV FOR DEP-PLANT &amp; MACHINERY/Capital Spares</t>
  </si>
  <si>
    <t>Provision For Depreciation On Plant &amp; Machinery -</t>
  </si>
  <si>
    <t>PROV FOR DEP-OFFICE EQUIPMENT</t>
  </si>
  <si>
    <t>Provision For Depreciation on Computers and Computer related equipments</t>
  </si>
  <si>
    <t>P.F.D.-ASSET TRF INWARD-CREDIT</t>
  </si>
  <si>
    <t>P.F.D.-ASSET TRF INWARD-DEBIT</t>
  </si>
  <si>
    <t>CWIP-UKAI-HYDRO-PLANT &amp; MACHINERY</t>
  </si>
  <si>
    <t>CWIP-UKAI-HYDRO-LINES &amp; CABLE NET-WK</t>
  </si>
  <si>
    <t>CWIP(RE NONPLN) M-HYD-SCH PLANT&amp;MACHNERY</t>
  </si>
  <si>
    <t>CWIP(RE NONPLN) M-HYD-SCH LNS&amp;CABLE NET</t>
  </si>
  <si>
    <t>CWIP-WTPS-EXTN-LNS &amp; CABLE NETWK</t>
  </si>
  <si>
    <t>CWIP REN.&amp;MOD.(S.A.) PLANT &amp; MACHINERY</t>
  </si>
  <si>
    <t>CWIP CHHAT-VIRAM 220 OTHER CIVIL WKS</t>
  </si>
  <si>
    <t>CWIP IPDS Plant &amp; Machinary</t>
  </si>
  <si>
    <t>CWIP-AGRICULTURAL CONNECTION - PLANT &amp; MACHINERY</t>
  </si>
  <si>
    <t>CWIP-AGRICULTURAL CONNECTION - LINES &amp; CABLE NET W</t>
  </si>
  <si>
    <t>CWIP(RE-PLAN)TRIBL AREA PLNT &amp; MACHNRY</t>
  </si>
  <si>
    <t>CWIP(RE-PLAN)TRIBL AREA LNS&amp;CABLE NTWK</t>
  </si>
  <si>
    <t>CWIP(RE PLAN) SPL CMPNT SCHM PLNT &amp; M/C</t>
  </si>
  <si>
    <t>CWIP(RE PLAN) SPL CMPNT SCHM LNS &amp; CABLE NT-WK</t>
  </si>
  <si>
    <t>CWIP(RE PLAN) ORD ADVANC PLNT &amp; MACHNRY</t>
  </si>
  <si>
    <t>CWIP(RE PLAN) ORD ADVANC LNS&amp;CABLE NT-WK</t>
  </si>
  <si>
    <t>CWIP-Sardar Krushi Jyoti Yojna(SKJY)- PLANT &amp; MACH</t>
  </si>
  <si>
    <t>CWIP-Sardar Krushi Jyoti Yojna(SKJY)- LNS&amp;CABLE NT</t>
  </si>
  <si>
    <t>CWIP(RE PLAN) SPL UNDEV LNS&amp;CABLE NT-WK</t>
  </si>
  <si>
    <t>CWIP(RE PLAN) SYS-IMPROV PLANT &amp; MACHNRY</t>
  </si>
  <si>
    <t>CWIP(RE PLAN) SYS-IMPROV LNS&amp;CABLE NT-WK</t>
  </si>
  <si>
    <t>CWIP(RE PLAN) SPL TRANS PLANT &amp; MACHNERY</t>
  </si>
  <si>
    <t>CWIP(RE PLAN) SPL TRANS LNS&amp;CABLE NWK</t>
  </si>
  <si>
    <t>Capital Work in Progress Sky Scheme</t>
  </si>
  <si>
    <t>Capital Work in Progress (SKY Scheme)</t>
  </si>
  <si>
    <t>RECLASSIFICATION 441</t>
  </si>
  <si>
    <t>CWIP-KUTIR JYOT PLANT &amp; MACHINERY</t>
  </si>
  <si>
    <t>CWIP-KUTIR JYOT LINES &amp; CABLE NET W</t>
  </si>
  <si>
    <t>RECLASSIFIED 524</t>
  </si>
  <si>
    <t>RECLASSIFIED 441(R)</t>
  </si>
  <si>
    <t>RECLSSIFIED 421 505(R) 593 441(R)</t>
  </si>
  <si>
    <t>CWIP(RE NONPLN) N.A.B.A.R.D.PLNT&amp;MACHNRY</t>
  </si>
  <si>
    <t>CWIP(RE NONPLN) N.A.B.A.R.D.LINE&amp;CABLENW</t>
  </si>
  <si>
    <t>CWIP(RE NONPLN) S.P.A.PLANT&amp;MACHNERY</t>
  </si>
  <si>
    <t>CWIP(RE NONPLN) S.P.A.LNS&amp;CABLE NET-WK</t>
  </si>
  <si>
    <t>CWIP-EXECUTION OF NON PLAN RE PLANT &amp; MACHINERY</t>
  </si>
  <si>
    <t>RECLASSIFIED 421</t>
  </si>
  <si>
    <t>CWIP(RE NONPLN) REPLCMNT-ASET/EQUP LNS</t>
  </si>
  <si>
    <t>CWIP(RE NONPLN) N.D.SCHEME LAND&amp;LAND RTS</t>
  </si>
  <si>
    <t>CWIP(RE NONPLN) N.D.SCHEME OTER CIVIL WK</t>
  </si>
  <si>
    <t>CWIP(RE NONPLN) N.D.SCHEME PLANT&amp;MACHINY</t>
  </si>
  <si>
    <t>CWIP(RE NONPLN) N.D.SCHEME LNS&amp;CABLE NT-WK</t>
  </si>
  <si>
    <t>CWIP(RE NONPLN) N.D.SCHEME OFFICE EQUIPMENT</t>
  </si>
  <si>
    <t>RECLASSIFIED 446 808 445 281 442 800 444 802 484</t>
  </si>
  <si>
    <t>CWIP CAP.EXP-VEHCL ETC FURNITURE FIXS ETC</t>
  </si>
  <si>
    <t>CWIP CAP EXP-VEHCL ETC OFFICE EQUIPMENT</t>
  </si>
  <si>
    <t>CWIP CAP EXP-OFFICE ETC LAND&amp;LD RGHTS</t>
  </si>
  <si>
    <t>CWIP CAP EXP-OFFICE ETC BLDGS</t>
  </si>
  <si>
    <t>CWIP CAP EXP-OFFICE ETC OTER CIVIL WKS</t>
  </si>
  <si>
    <t>CWIP CAP EXP-OFFICE ETC PLANT&amp;MACHNERY</t>
  </si>
  <si>
    <t>CWIP CAP EXP OFFICE ETC FURNITURE FIXS ETC</t>
  </si>
  <si>
    <t>CWIP CAP EXP-OFFICE ETC OFFICE EQUIPMENT</t>
  </si>
  <si>
    <t>CWIP C EXP SUB-STTION LNS&amp;CABLE NET-WK</t>
  </si>
  <si>
    <t>CWIP C EXP-OTHERS LAND &amp; LAND RGHT</t>
  </si>
  <si>
    <t>CWIP C EXP-OTHERS OTHER CIVIL WKS</t>
  </si>
  <si>
    <t>CWIP-CAPITAL EXPENDITURE FOR M LINES &amp; CABLE NET W</t>
  </si>
  <si>
    <t>CWIP-CAPITAL EXPENDITURE FOR M FURNITURE FIXTURE E</t>
  </si>
  <si>
    <t>CWIP-CAPITAL EXPENDITURE FOR M OFFICE EQUIPMENT</t>
  </si>
  <si>
    <t>SUPERVISION &amp; ADMN. COST CHGD. TO CAP. WORKS</t>
  </si>
  <si>
    <t>W D V-OBSOLET/SCRAPED ASET-PLNT &amp; MCHNRY</t>
  </si>
  <si>
    <t>W D V-OBSOLET/SCRAPED ASET-LNS_CBL_NTWRK</t>
  </si>
  <si>
    <t>W D V-OBSOLET/SCRAPED ASET-VEHICLES</t>
  </si>
  <si>
    <t>CWIP-AG Feeder Bifurcation Work Lines &amp; Cable Networks</t>
  </si>
  <si>
    <t>Capital Works in Progress - PM-KUSUM-B Scheme</t>
  </si>
  <si>
    <t>INV OF RETEN OF FLD ALL FROM GRATUITY</t>
  </si>
  <si>
    <t>INV.OF RETEN OF PROJ ALL FR-TERMI BENIFIT</t>
  </si>
  <si>
    <t>INVESTMENT OF RETN.AMT OF 3TIER HG BENIFIT</t>
  </si>
  <si>
    <t>MATERIALS PURCHASE(O&amp;M) - H.O.</t>
  </si>
  <si>
    <t>MATERIALS PURCHASE(O&amp;M) - LOCAL</t>
  </si>
  <si>
    <t>TOTAL MATERIALS PURCHASE (CREDIT A/C)</t>
  </si>
  <si>
    <t>MATERIALS PURCHASE-STEEL</t>
  </si>
  <si>
    <t>MATERIALS PURCHASE-TRANSFORMERS</t>
  </si>
  <si>
    <t>MATERIALS PURCHASE-MTRS &amp; METERING EQUIP</t>
  </si>
  <si>
    <t>MATERIALS PURCHASE-CABLES &amp; CONDUCTORS</t>
  </si>
  <si>
    <t>MATERIALS PURCHASE-POLES</t>
  </si>
  <si>
    <t>MATERIALS PURCHASE-INSULATORS</t>
  </si>
  <si>
    <t>MATERIALS PURCHASE-OTHERS</t>
  </si>
  <si>
    <t>MATERIALS ISSUES (CREDIT A/C)</t>
  </si>
  <si>
    <t>MAT.ISSUED TO CONTRACTORS CREDIT A/CS.</t>
  </si>
  <si>
    <t>MAT.ISSUED FOR CAPITAL CONSUMPTION DR A/C</t>
  </si>
  <si>
    <t>MAT.ISSUED FOR O&amp;M CONSUMPTION DEBIT A/C</t>
  </si>
  <si>
    <t>MATERIALS ISSUED ON MASA DEBIT A/C.</t>
  </si>
  <si>
    <t>TOTAL MATERIALS ISSUED CREDIT A/C.</t>
  </si>
  <si>
    <t>MATERIALS TRANSFER INWARD</t>
  </si>
  <si>
    <t>MATERIALS TRANSFER OUTWARD</t>
  </si>
  <si>
    <t>O&amp;M MATERIALS STOCK</t>
  </si>
  <si>
    <t>MATERIALS-AT-SITE (CAPITAL)</t>
  </si>
  <si>
    <t>MATERIALS-AT-SITE (O&amp;M)</t>
  </si>
  <si>
    <t>MATERIALS AT TRANSFORMER MAINTENANCE SECTION</t>
  </si>
  <si>
    <t>MATERIALS-IN-TRANSIT.</t>
  </si>
  <si>
    <t>METER-TESTING LAB.SUSPENSE-MATERIALS</t>
  </si>
  <si>
    <t>MAT ISSUED TO FABRICATRS TRANSFMR REPAIR</t>
  </si>
  <si>
    <t>MATERIALS ISSUED TO FABRICATORS-OTHERS</t>
  </si>
  <si>
    <t>FABRICATION MATERIALS--SUSPENSE A/C</t>
  </si>
  <si>
    <t>SAMPLES SENT TO ERDA OR OTHER AGENCIES.</t>
  </si>
  <si>
    <t>SCRAP/OBSOLETE MATERIALS STOCK</t>
  </si>
  <si>
    <t>TRANSFORMERS REPLACED AGAINST BURNT-DR</t>
  </si>
  <si>
    <t>BURNT TRANSFORMERS REMOVED-CR</t>
  </si>
  <si>
    <t>MAT STOCK EXCESS PENDING INVESTIG</t>
  </si>
  <si>
    <t>PROV FOR WRITING BACK EXCESS MAT-DEBIT</t>
  </si>
  <si>
    <t>MAT.STOCK SHORTAGE PENDING INVESTIGN</t>
  </si>
  <si>
    <t>LOSSES-COST OF LOST DAMAGED ARTICLS/MAT</t>
  </si>
  <si>
    <t>PROVSN FOR STK SHORTAGES PEN.INVSTG</t>
  </si>
  <si>
    <t>S DEBTOR FOR SALE OF PWR-RESI/DOMEST</t>
  </si>
  <si>
    <t>S DEBTORS FOR SALE OF PWR-COMMERCIAL</t>
  </si>
  <si>
    <t>S DEBTOR FOR SALE OF PWR INDST-L&amp;M VOL</t>
  </si>
  <si>
    <t>S.DEBTORS FOR SALE OF POWER INDUSTRIAL HT</t>
  </si>
  <si>
    <t>S DEBTORS FOR SALE OF PWR-TRCTION RALWAY</t>
  </si>
  <si>
    <t>S DEBTOR FOR SALE OF PWR-IRR-AGRICTL</t>
  </si>
  <si>
    <t>S DEBTOR FOR SAL OF PWR-PWW/SERAGE PUMP</t>
  </si>
  <si>
    <t>Amount receivable from GoG for relief to primary s</t>
  </si>
  <si>
    <t>AMT RCD FR GOVT AGAINST DUES FR VILL W/WKS</t>
  </si>
  <si>
    <t>Amount receivable from Goverment of Gujrat under Atmanirbhar Package</t>
  </si>
  <si>
    <t>TOTAL COLLECTIONS (CREDIT)</t>
  </si>
  <si>
    <t>TOTAL NON-CASH ADJ.TO CNSMR-S-CR</t>
  </si>
  <si>
    <t>COLLECTION MADE BY OFFICES OTHER THAN BIL ISSUE OF</t>
  </si>
  <si>
    <t>TOTAL COLLECTIONS (DEBIT)</t>
  </si>
  <si>
    <t>TOTAL NON-CASH ADJ.TO CNSMR-S-DR</t>
  </si>
  <si>
    <t>TOTAL ADJUSTMENTS MADE FOR COLLECTION BY OTHER OFF</t>
  </si>
  <si>
    <t>Total non-cash adjustments of TDS u/s 194Q-Debit</t>
  </si>
  <si>
    <t>UNPOSTED RECEIPTS-CR</t>
  </si>
  <si>
    <t>PROVISION FOR UNBILLED REVENUE -RESI/DOMESTIC</t>
  </si>
  <si>
    <t>PROVISION FOR UNBILLED REV-COMMERCIAL</t>
  </si>
  <si>
    <t>PROVISION FOR UNBILLED REV-IND. LOW &amp; MED. VOLTAGE</t>
  </si>
  <si>
    <t>PROVISION FOR UNBILLED REV-IND-HIGH VOLTAGE</t>
  </si>
  <si>
    <t>PROVISION FOR UNBILLED REV-TRACTION RAILWAYS</t>
  </si>
  <si>
    <t>PROVISION FOR UNBILLED REV-IRRIGATION AGRICULTURAL</t>
  </si>
  <si>
    <t>PROVISION FOR UNBILLED REV-PUBLIC WATER WORKS &amp; SE</t>
  </si>
  <si>
    <t>PROVISION FOR UNBILLED REV-OTHER CONSUMERS</t>
  </si>
  <si>
    <t>Sundry Debtors – Miscellaneous Receipts from Co</t>
  </si>
  <si>
    <t>DUES FROM UNCONNECTED CONSUMERS</t>
  </si>
  <si>
    <t>Amount payable to EESL towards LED bulbs Under Uja</t>
  </si>
  <si>
    <t>Amount recoverable from consumers for LED under Uj</t>
  </si>
  <si>
    <t>DUES FRM NON-CNSMRS FOR THEFT &amp; MALPRAC</t>
  </si>
  <si>
    <t>PROVISION FOR DOUBTFUL DUE FROM HT CONSUMERS</t>
  </si>
  <si>
    <t>CASH ON HAND</t>
  </si>
  <si>
    <t>CASH/CHEQUES TO BE DEPOSITED IN COLL.BANK</t>
  </si>
  <si>
    <t>POSTAGE STAMPS ON HAND</t>
  </si>
  <si>
    <t>STAMPED AGREEMENT FORMS ON HAND</t>
  </si>
  <si>
    <t>PERMANENT IMPREST WITH STAFF</t>
  </si>
  <si>
    <t>TEMPORARY IMPREST WITH STAFF</t>
  </si>
  <si>
    <t>BOB COLLECTION A/C</t>
  </si>
  <si>
    <t>B.O.I COLLECTION A/C</t>
  </si>
  <si>
    <t>C.B.I COLLECTION A/C</t>
  </si>
  <si>
    <t>DENA BANK COLLECTION A/C</t>
  </si>
  <si>
    <t>S.B.I COLLCTION A/C</t>
  </si>
  <si>
    <t>STATE BANK OF INDIA (S.B.OF SAURASHTRA COLL. A/C)</t>
  </si>
  <si>
    <t>VIJAYA BANK COLLECTION A/C</t>
  </si>
  <si>
    <t>STATE BANK OF INDIA IFB COLLECTION A/C.IFB.</t>
  </si>
  <si>
    <t>OTHER BANKS-COLLECTION A/C</t>
  </si>
  <si>
    <t>KOTAK MAHINDRA BANK-COLLECTION LTD.</t>
  </si>
  <si>
    <t>ICICI BANK-COLLECTION A/C.</t>
  </si>
  <si>
    <t>CITY BANK - COLLECTION ACCOUNT</t>
  </si>
  <si>
    <t>BANK OF BARODA</t>
  </si>
  <si>
    <t>DENA BANK - ESCROW A/C</t>
  </si>
  <si>
    <t>INDIAN BANK - ESCROW A/C</t>
  </si>
  <si>
    <t>STATE BANK OF INDIA</t>
  </si>
  <si>
    <t>STATE BANK OF INDIA-IF BRANCH</t>
  </si>
  <si>
    <t>State Bank of India-Savings A/c (Surya Gujarat Scheme)</t>
  </si>
  <si>
    <t>Savings A/c (RDSS Scheme)</t>
  </si>
  <si>
    <t>BANK OF BARODA -OTHER BR</t>
  </si>
  <si>
    <t>REMITTANCES-IN-TRANSIT TO H.O.</t>
  </si>
  <si>
    <t>REMITTANCES-IN-TRANSIT FROM OTHERS</t>
  </si>
  <si>
    <t>Remittances – in –transit from Bill Desk</t>
  </si>
  <si>
    <t>Remittances – in –transit from ICIC Bank</t>
  </si>
  <si>
    <t>ADV.TO SUPPLIERS (CAP)-INTEST FREE</t>
  </si>
  <si>
    <t>ADV TO SUPPLIERS (O&amp;M)-INT-FREE</t>
  </si>
  <si>
    <t>SCOOTER ADVS-STAFF-INT-BEARING</t>
  </si>
  <si>
    <t>MOTOR CAR ADVS-STAFF-INT-BEARING.</t>
  </si>
  <si>
    <t>HOUSE BLDG ADVS-STAFF-INT-BEARING.</t>
  </si>
  <si>
    <t>LTC &amp; TA ADVANCE TO STAFF INTE-FREE</t>
  </si>
  <si>
    <t>FESTIVAL ADVS-STAFF-INTE-FREE</t>
  </si>
  <si>
    <t>FOOD ADVS-STAFF-INT-FREE</t>
  </si>
  <si>
    <t>INTIM RELIEF TO STAFF-MEDICAL</t>
  </si>
  <si>
    <t>TDS on Sale of Electricity</t>
  </si>
  <si>
    <t>TDS on Sale of Goods, Others</t>
  </si>
  <si>
    <t>TCS on Purchase of Electricity</t>
  </si>
  <si>
    <t>TCS on Purchase of Goods, Others</t>
  </si>
  <si>
    <t>ADV INCOME-TAX</t>
  </si>
  <si>
    <t>Advance Service Tax</t>
  </si>
  <si>
    <t>T.D.S.-INC.FROM INVESTMENT</t>
  </si>
  <si>
    <t>T.D.S.ON OTHER RECEIPTS.</t>
  </si>
  <si>
    <t>I.T.DEMAND FOR A.Y.2011-12</t>
  </si>
  <si>
    <t>IT DEMAND FOR A.Y. 2012-13</t>
  </si>
  <si>
    <t>INCOME TAX DEMAND FOR A.Y. 2013-14</t>
  </si>
  <si>
    <t>INCOME TAX DEMAND FOR A.Y. 2014-15.</t>
  </si>
  <si>
    <t>INCOME TAX DEMAND FOR A.Y.2015-16</t>
  </si>
  <si>
    <t>Income Tax Demand for A.Y. 2017-18</t>
  </si>
  <si>
    <t>Income Tax Demand for A.Y. 2018-19</t>
  </si>
  <si>
    <t>LOANS &amp; ADVANCES OTHERS- MISC.LOAN CASH DEPARTME</t>
  </si>
  <si>
    <t>MISC. LOAN AND ADVANCES-REVENUE</t>
  </si>
  <si>
    <t>MISCELLANEOUS LOANS &amp; ADV</t>
  </si>
  <si>
    <t>INCOME ACRUED &amp; DUE STAFF LOANS &amp; ADV</t>
  </si>
  <si>
    <t>INCOM ACRUED B.N.D.-STAFF-SCOOTER ADV.</t>
  </si>
  <si>
    <t>INCOME ACRUED B.N.D.-STAFF-MOTOR CAR ADV</t>
  </si>
  <si>
    <t>INCOME ACRUED B.N.D.-STAFF-H.B.ADV.</t>
  </si>
  <si>
    <t>AMTS RECOVERABLE FRM EMPLOYEES</t>
  </si>
  <si>
    <t>AMTS RECOVERABLE FRM EX-EMPLOYEES</t>
  </si>
  <si>
    <t>AMT. REC-BLE FROM EX-EMPLOYEES FOR PENSION FUND</t>
  </si>
  <si>
    <t>MISC.RECOVERIES</t>
  </si>
  <si>
    <t>Amount receivable under Surya Gujarat Scheme</t>
  </si>
  <si>
    <t>35% SKY? Loan recoverable from Consumer</t>
  </si>
  <si>
    <t>30% SKY? Loan recoverable from Consumer(EBI)</t>
  </si>
  <si>
    <t>Incentive receivable from GoG-SKY Scheme (EBI)</t>
  </si>
  <si>
    <t>30% PM-Kusum-B Scheme Grant receivable from Central Goverment(CFA)</t>
  </si>
  <si>
    <t>30% PM-Kusum-B Scheme Grant receivable from State Goverment</t>
  </si>
  <si>
    <t>OTHER MISC.REC.FRM SEB GOVTLOCAL DEPTT.</t>
  </si>
  <si>
    <t>AMTS RECOVERABLE FRM SUPPLIERS</t>
  </si>
  <si>
    <t>AMTS RECOVERABLE FRM CONTRACTORS</t>
  </si>
  <si>
    <t>PREPAID EXPENSES</t>
  </si>
  <si>
    <t>Interest Receivable from consumer for Loan from GoG-SKY Scheme</t>
  </si>
  <si>
    <t>Interest Receivable from consumer for Loan from GoG-Sky-EBI (30%)</t>
  </si>
  <si>
    <t>DEPOSITS WITH EXCISE AUTHRTIES</t>
  </si>
  <si>
    <t>DEPOSITS WITH TELEPHONE AUTHRTIES</t>
  </si>
  <si>
    <t>DEPOSIT WITH INDUSTRIAL TRIBUNAL COURT</t>
  </si>
  <si>
    <t>Deposit with Gujarat High Court &amp; Other Courts</t>
  </si>
  <si>
    <t>OTHER DEPOSITS</t>
  </si>
  <si>
    <t>SD FR BILL COLL AGENC IN OTHR THAN CASH</t>
  </si>
  <si>
    <t>F.D.FROM SUPPLIERS/CONTRACTORS</t>
  </si>
  <si>
    <t>INTER-COMP.A/C-GSECL</t>
  </si>
  <si>
    <t>INTER-COMP.A/C-MGVCL</t>
  </si>
  <si>
    <t>INTER-COMP.A/C-PGVCL</t>
  </si>
  <si>
    <t>INTER-COMP.A/C-UGVCL</t>
  </si>
  <si>
    <t>INTER-COMP.A/C-GETCO</t>
  </si>
  <si>
    <t>INTER-COMP.A/C-GUVNL HEAD OFFICE</t>
  </si>
  <si>
    <t>INTER-COMP.A/C-GETRI</t>
  </si>
  <si>
    <t>Buildings-IndAS transition adjustment</t>
  </si>
  <si>
    <t>Hydraulic Works-IndAS transition adjustment</t>
  </si>
  <si>
    <t>Other Civil Works-IndAS transition adjustment</t>
  </si>
  <si>
    <t>Plant &amp; Machinary-IndAS transition adjustment</t>
  </si>
  <si>
    <t>Lines &amp; Cable net Works-IndAS transition adjustmen</t>
  </si>
  <si>
    <t>Vehicles-IndAS transition adjustment</t>
  </si>
  <si>
    <t>Furniture- Fixtures &amp; Electric Light &amp; Fan Install</t>
  </si>
  <si>
    <t>Office Equipment-IndAS transition adjustment</t>
  </si>
  <si>
    <t>Provision for Depreciation on Buildings – IndAS</t>
  </si>
  <si>
    <t>Provn for Deprectn on Hydraulic Works – IndAS tr</t>
  </si>
  <si>
    <t>Prov for Depre on Other Civil Works – IndAS tran</t>
  </si>
  <si>
    <t>Provisn for Deprecn on Plant &amp; Machinery – IndAS</t>
  </si>
  <si>
    <t>Prov for Deprcn on Lines &amp; Cable Network – IndAS</t>
  </si>
  <si>
    <t>Provision for Depreciation on Vehicles – IndAS t</t>
  </si>
  <si>
    <t>Provsn for Depren on Furni, Fixt and Ele Light &amp; F</t>
  </si>
  <si>
    <t>Provsn for Deprecn on Office Equipment – IndAS t</t>
  </si>
  <si>
    <t>INTER-UNIT A/C-SURAT O &amp; M CIRCLE</t>
  </si>
  <si>
    <t>INTER-UNIT A/C-SURAT O &amp; M DIVISION</t>
  </si>
  <si>
    <t>INTER-UNIT A/C-BARDOLI O&amp;M DIVISION</t>
  </si>
  <si>
    <t>INTER-UNIT A/C-Kadodara O &amp; M DIVISION</t>
  </si>
  <si>
    <t>INTER-UNIT A/C-VYARA O &amp; M DIVISION</t>
  </si>
  <si>
    <t>INTER-UNIT A/C-SURAT INDUSTRIAL DIVISION</t>
  </si>
  <si>
    <t>INTER-UNIT A/C-BHARUCH (O&amp;M) CIRCLE OFFICE</t>
  </si>
  <si>
    <t>INTER-UNIT A/C-BHARUCH (O&amp;M) DIVISION</t>
  </si>
  <si>
    <t>INTER-UNIT A/C-ANKLESWAR (O &amp; M) DIVISION</t>
  </si>
  <si>
    <t>INTER-UNIT A/C-ANKLESHWAR (INDUSTRIAL) DIVN.</t>
  </si>
  <si>
    <t>INTER-UNIT A/C-RAJPIPLA O &amp; M DIVISION</t>
  </si>
  <si>
    <t>INTER-UNIT A/C-BHARUCH CITY DVN.</t>
  </si>
  <si>
    <t>INTER-UNIT A/C-JAMBUVA O &amp; M DIVISION</t>
  </si>
  <si>
    <t>INTER-UNIT A/C-VISHWAMTRI EAST DVISION</t>
  </si>
  <si>
    <t>INTER-UNIT A/C-ANAND O &amp; M DIVISION</t>
  </si>
  <si>
    <t>INTER-UNIT A/C-ANAND CITY DIVISION</t>
  </si>
  <si>
    <t>INTER-UNIT A/C-BAVALA O &amp; M DIVISION</t>
  </si>
  <si>
    <t>INTER-UNIT A/C-VALSAD (O&amp;M) CIRCLE OFFICE</t>
  </si>
  <si>
    <t>INTER-UNIT A/C-VALSAD (O&amp;M) DIVISION</t>
  </si>
  <si>
    <t>INTER-UNIT A/C-NAVSARI (O&amp;M) DIVISION</t>
  </si>
  <si>
    <t>INTER-UNIT A/C-VAPI (O&amp;M) DIVISION</t>
  </si>
  <si>
    <t>INTER-UNIT A/C-NAVSARI CITY DIVISION</t>
  </si>
  <si>
    <t>INTER-UNIT A/C-VAPI INDUSTRIAL DIVISION</t>
  </si>
  <si>
    <t>Inter Company Transfer Valsad City Div</t>
  </si>
  <si>
    <t>INTER-UNIT A/C-MAHUVA O &amp; M DIVISION</t>
  </si>
  <si>
    <t>INTER-UNIT A/C-SAVARKUNDLA O &amp; M DIVISION</t>
  </si>
  <si>
    <t>Inter Company Transfer-Surat City Circle</t>
  </si>
  <si>
    <t>Inter Company Transfer-Surat Urban Division</t>
  </si>
  <si>
    <t>Inter Company Transfer-Surat Industrial Division</t>
  </si>
  <si>
    <t>Inter Company Rander Div</t>
  </si>
  <si>
    <t>Inter Company Transfer-Piplod Div</t>
  </si>
  <si>
    <t>Inter Unit A/c- Morbi Division Office-2</t>
  </si>
  <si>
    <t>Inter Company Tarnsfer-Nadiad City Division</t>
  </si>
  <si>
    <t>Inter Company Tarnsfer-Mehdabad O&amp;M Division</t>
  </si>
  <si>
    <t>INTER-UNIT A/C-RSO-NAVSARI</t>
  </si>
  <si>
    <t>INTER-UNIT A/C-BHARUCH R.S.O.</t>
  </si>
  <si>
    <t>INTER-UNIT A/C-DGVCL</t>
  </si>
  <si>
    <t>INTER-UNIT A/C-HEAD OFFICE-BARODA</t>
  </si>
  <si>
    <t>Sundry Creditors for Renewable Attribute Costs-GUVNL (for DISCOMs)</t>
  </si>
  <si>
    <t>SCPP-FROM WIND FARMS</t>
  </si>
  <si>
    <t>SCPP-FROM NON-CONVENTIONAL ENERGY</t>
  </si>
  <si>
    <t>Liability for purchase of power (SKY Scheme)</t>
  </si>
  <si>
    <t>Liability of Supply of Material (SKY Scheme)</t>
  </si>
  <si>
    <t>Liability of Supply of Material (PM-Kusum-B Scheme)</t>
  </si>
  <si>
    <t>PROV FR BONUS</t>
  </si>
  <si>
    <t>PROVISION FOR LEAVE ENCASHMENT</t>
  </si>
  <si>
    <t>Provision for Employee Benefits</t>
  </si>
  <si>
    <t>UNPAID-SALARIES &amp; WAGES-REGULAR STAFF</t>
  </si>
  <si>
    <t>UNPAID-SAL&amp;WGS FR LNG-TRM RETN.INT-BEARING</t>
  </si>
  <si>
    <t>NET SALARY PAYABLE</t>
  </si>
  <si>
    <t>I-TAX DEDU. AT SOURCE FRM STF-PAYMNT</t>
  </si>
  <si>
    <t>EMPLOYEE-S CONTRI. TO C.P.F.</t>
  </si>
  <si>
    <t>EMPLOYEE-S CONTRI. TO F.P.S.</t>
  </si>
  <si>
    <t>BOARD-S CONTRI. TO C.P.F.</t>
  </si>
  <si>
    <t>LIFE INSURANCE PREMIUM RECOVERED</t>
  </si>
  <si>
    <t>PROFESSIONALTAX RECOVERED</t>
  </si>
  <si>
    <t>FINES &amp; NOTICE PAY RECOVERED</t>
  </si>
  <si>
    <t>EMPLOYEE-S VOLUNTARY CONTRI. TO C.P.F.</t>
  </si>
  <si>
    <t>RECOVERY OF C.P.F.ADV.&amp; INT.THEREON.</t>
  </si>
  <si>
    <t>EMPLOYEE CONTRIBUTION FOR PENSION.</t>
  </si>
  <si>
    <t>GEB EMPLOYEE-S CO-OP SOCTY DUES RECOVERY</t>
  </si>
  <si>
    <t>OTHER CO.OP.Employees Society DUES Recovery</t>
  </si>
  <si>
    <t>MISCELLANEOUS RECOVERIES FRM STAFF.</t>
  </si>
  <si>
    <t>Miscellaneous Recoveries From Staff- Ind AS</t>
  </si>
  <si>
    <t>10% EMPLOYEE-S CONTRIBUTIONTO NEW DEFINED CONTRIBU</t>
  </si>
  <si>
    <t>10% COMPANY-S CONTRIBUTION TO NEW DEFINED CONTRIBU</t>
  </si>
  <si>
    <t>GEB PENA WELFARE SCHEME- 1986</t>
  </si>
  <si>
    <t>SUBSCRIPTION FROM SALARY-GVKUM</t>
  </si>
  <si>
    <t>SUBCRIPTION FROM SALARY _GEEU</t>
  </si>
  <si>
    <t>SUBCRIPTION FROM SALARY _AGVKS</t>
  </si>
  <si>
    <t>SUBCRIPTION FROM SALARY-PENA</t>
  </si>
  <si>
    <t>SUBCRIPTION FROM SALARY-SVKM</t>
  </si>
  <si>
    <t>RECOVERY/DEDU.FOR CM RELIEFFUND</t>
  </si>
  <si>
    <t>Subscription to be deducted from salary for Gujarat Energy Employee Technical Association (GEETA)</t>
  </si>
  <si>
    <t>EMPLOYEES CONTRI FOR GUJ LABOUR WELFARE FUND</t>
  </si>
  <si>
    <t>RETAINED FIELD ALLOWANCE</t>
  </si>
  <si>
    <t>RETAINED PROJECT ALLOWANCE</t>
  </si>
  <si>
    <t>HIGHERGREADE RETAINTION AM-OUNT.</t>
  </si>
  <si>
    <t>EMPLOYEES SUBSCRIPTION-STAFF WELFARE FUND</t>
  </si>
  <si>
    <t>MERIT AWARD PAYMENT FROM STAFF WELFARE FUND.</t>
  </si>
  <si>
    <t>MEDICAL AID PAID FROM STAFFWELFARE FUND.</t>
  </si>
  <si>
    <t>STAFF VOLUNTARY RETIREMENT CUM DEATH BENEVOLENT FU</t>
  </si>
  <si>
    <t>SUBSCRIPTION FR EMPLOYEES SCH-II</t>
  </si>
  <si>
    <t>PAYMENT TO RETIRED EMPLOYEES FR SVRDBF (SCH-II)</t>
  </si>
  <si>
    <t>PAYMENT TO LEGAL HEIR OF DECEASED EMP FRM SVRDBF</t>
  </si>
  <si>
    <t>S.D.FROM SUPPLIERS/CONTRACTORS IN CASH</t>
  </si>
  <si>
    <t>S.D. FROM SUPP./CONTRACTORS-OTHER THAN CASH</t>
  </si>
  <si>
    <t>E.M.D FRM SUPPLIERS/CONTRACTORS</t>
  </si>
  <si>
    <t>RETENTION MONEY FRM SUPPLIERS/CONTRACTR</t>
  </si>
  <si>
    <t>RETENTION MONEY P&amp;P BILLS</t>
  </si>
  <si>
    <t>S.D.FROM COLLECTION AGENCIES IN CASH</t>
  </si>
  <si>
    <t>RETENTION MONEY SUPPLY/CONTRACTOR-(GST)</t>
  </si>
  <si>
    <t>SD FROM CONSUMERS (BG)</t>
  </si>
  <si>
    <t>Deposit Under Solar Roof Top Scheme</t>
  </si>
  <si>
    <t>Retention towards Performance Bank Guarantee Surya Gujarat Schema</t>
  </si>
  <si>
    <t>Retention amount towards PM-Kusum-B Scheme</t>
  </si>
  <si>
    <t>DEPOSITS FRM OTHERS.</t>
  </si>
  <si>
    <t>DEPOSITS FROM OTHERTS-BILLING</t>
  </si>
  <si>
    <t>MISC. DEPOSIT -PAYBILL GROUP</t>
  </si>
  <si>
    <t>MISC. DEPOSIT CIVIL DEPT.</t>
  </si>
  <si>
    <t>MISC. DEPOSIT- CPF DEPTT.</t>
  </si>
  <si>
    <t>MISC DEPOSIT -RESOURCES SECION</t>
  </si>
  <si>
    <t>MISCELLANEOUS DEPOSIT- REVENUE SECTION</t>
  </si>
  <si>
    <t>Advance from GoG/GoI under RDSS Scheme</t>
  </si>
  <si>
    <t>ELECTRICITY DUTY PAYABLE TO STATE GOVT</t>
  </si>
  <si>
    <t>DOUBTFUL RECOVERY OF ED(ASSESSED &amp;PAID)</t>
  </si>
  <si>
    <t>ELECTRICITY DUTY - DEFERRED</t>
  </si>
  <si>
    <t>DOUBTFUL RECOVERY OF TSE(ASSESSED &amp; PAID)</t>
  </si>
  <si>
    <t>TAX ON SALE OF ELECTRICITY-DEFERRED</t>
  </si>
  <si>
    <t>WAIVER OF ED UNDER THE AMNESTY SCHEME</t>
  </si>
  <si>
    <t>Compounding Fee payable to State Govt.</t>
  </si>
  <si>
    <t>DOCKET VOUCHERS SENT TO HO</t>
  </si>
  <si>
    <t>Unspent CSR for Ongoing Projects FY 2020-21</t>
  </si>
  <si>
    <t>Provision for Liability for Expenses-Others</t>
  </si>
  <si>
    <t>INT ACCR BUT NOT DUE ON LOAN UNDER APDP</t>
  </si>
  <si>
    <t>INT A.B.N.D.ON LOANS FROM ADB FOR EARTH QUAKE</t>
  </si>
  <si>
    <t>INT ACC B.N.D. SPA SCHEME LOANS</t>
  </si>
  <si>
    <t>INT.ACCRED B.N.D.ON LOANS FROM PFC</t>
  </si>
  <si>
    <t>PROVISION FOR MAT</t>
  </si>
  <si>
    <t>Material Received on loan</t>
  </si>
  <si>
    <t>Tax Deducted at Source on Central Goods &amp; Service Tax(CGST)</t>
  </si>
  <si>
    <t>Tax Deducted at Source on State Goods &amp; Servcie Tac(SGST)</t>
  </si>
  <si>
    <t>Tax Deducted at Source on Integrated Goods &amp; Servcie Tac(IGST)</t>
  </si>
  <si>
    <t>Tax Deducted at Source on Union Territry Goods &amp; Servcie Tac(UGST)</t>
  </si>
  <si>
    <t>Rejected RTGS/NEFT Payment Transactions</t>
  </si>
  <si>
    <t>STALE CHEQUES</t>
  </si>
  <si>
    <t>DEPOSITS FR EXECUTION OF JOBS/WORKS</t>
  </si>
  <si>
    <t>ADV RECEIVED FR SALE OF STORES SCRAP ETC</t>
  </si>
  <si>
    <t>I-TDS ON PAYMENT OF INT.OF ON BORROWINGS</t>
  </si>
  <si>
    <t>I-TDS ON PAYMENT TO CONTRACTORS.</t>
  </si>
  <si>
    <t>I-TDS ON OTHER PAYMENTS.</t>
  </si>
  <si>
    <t>AMTS PAYABLE TO R.P.F.C.</t>
  </si>
  <si>
    <t>AMTS.RECEIVED FRM LIC UNDER GR.INSURANCE</t>
  </si>
  <si>
    <t>LIABLTY FR UNISSUED CHEQUES</t>
  </si>
  <si>
    <t>BOARD OF TRUSTEES OF C.P.F.</t>
  </si>
  <si>
    <t>EXCESS AMOUNT CREDITED BY BANK</t>
  </si>
  <si>
    <t>INCOME RECEIVED IN ADVANCE</t>
  </si>
  <si>
    <t>BOARD OF TRUSTEES OF PENSION FUND</t>
  </si>
  <si>
    <t>TAX DEDUCTED AT SOURCE</t>
  </si>
  <si>
    <t>LIABILITY FOR SERVICE TAX COLLECTION</t>
  </si>
  <si>
    <t>Income Tax deducted at source on payment of Provid</t>
  </si>
  <si>
    <t>Liability for Service Tax Collection – Solar Roo</t>
  </si>
  <si>
    <t>WORKERS WELFARE CESS</t>
  </si>
  <si>
    <t>Claim Receivable from KFW</t>
  </si>
  <si>
    <t>Liability for Central Goods &amp; Service Tax(CGST)</t>
  </si>
  <si>
    <t>Liability for state Goods &amp; Service Tax(SGST)</t>
  </si>
  <si>
    <t>Liability for Integrated Goods &amp; Service Tax(IGST)</t>
  </si>
  <si>
    <t>Liabi. for Union Terri. Goods &amp; Service Tax(UGST)</t>
  </si>
  <si>
    <t>PROV FR LOSS ON OBSOLESCENCE-CAP-SPAR</t>
  </si>
  <si>
    <t>PROV FR LOSS ON OBSOLESCENCE-MATERIAL</t>
  </si>
  <si>
    <t>Liability for SGST on Inter-Company Sale of Materr</t>
  </si>
  <si>
    <t>Liability for CGST on Inter-Company Sale of Materi</t>
  </si>
  <si>
    <t>TCS Collected on Sale of Electricity to Consumers</t>
  </si>
  <si>
    <t>PROV FR LOSSES PENDING INVESTIGATION</t>
  </si>
  <si>
    <t>Liability for EBI-payable to consumer (SKY Scheme)</t>
  </si>
  <si>
    <t>Subsidy received from GOG-HP Based Subsidy</t>
  </si>
  <si>
    <t>Liability for Payment of GOG subsidy towards Surya Gujarat Scheme</t>
  </si>
  <si>
    <t>TDS on Purchase of Electricity</t>
  </si>
  <si>
    <t>TDS on Purchase of Goods, Others</t>
  </si>
  <si>
    <t>SERVICE CONNECTION ESTIMATECHARGES</t>
  </si>
  <si>
    <t>DEPOSITS FRM AGRI.CNSMS UNDER AFC-II SCHME.</t>
  </si>
  <si>
    <t>Amount Received From GoG / GUVNL under SKY Scheme(WIP)</t>
  </si>
  <si>
    <t>Amount received from GoG/GUVNL under PM KUSUM-B Scheme (WIP)</t>
  </si>
  <si>
    <t>Amount received from GoG/GUVNL under PM KUSUM-C Scheme (WIP)</t>
  </si>
  <si>
    <t>Deposit for Small Scale Distributed Solar Projects</t>
  </si>
  <si>
    <t>DEPOSITS FR H.T.SERVICE CONNECTIONS</t>
  </si>
  <si>
    <t>Deposit for HT Job Work-KVA based</t>
  </si>
  <si>
    <t>Deposit for HT Job Work- GETCO Estimate</t>
  </si>
  <si>
    <t>DEPOSITS FR TEMP.SERVICE CONNECTIONS</t>
  </si>
  <si>
    <t>DEPOSIT/LOANS FROM CONSUMERFOR ELE.OF A.G.WELLS.</t>
  </si>
  <si>
    <t>DEPOSITE/LOAN RECD. FROM THE CONSUMER OF DARK ZONE</t>
  </si>
  <si>
    <t>DEVP.CHGS.FROM LT CONSUMERS</t>
  </si>
  <si>
    <t>DEVP.CHGS.FROM HT CONSUMERSPART-A</t>
  </si>
  <si>
    <t>DEVP. CHGS FROM HT CONSUMERPART-B</t>
  </si>
  <si>
    <t>DEPOSITS FR AGREEMENTS</t>
  </si>
  <si>
    <t>Deposit for PM-KUSUM-B Connection &amp; Charges for Solar Pump</t>
  </si>
  <si>
    <t>MISCELLANEOUS DEPOSITS FRM CONS</t>
  </si>
  <si>
    <t>S.D.FROM CONSUMERS AGAINST ENERGY BILLS-IND.HIGH V</t>
  </si>
  <si>
    <t>INT.PAYABLE ON CONS.SECURITY DEPOSIT</t>
  </si>
  <si>
    <t>Deferred Tax Liability - Ind AS</t>
  </si>
  <si>
    <t>BANK OF BARODA-CC A/C</t>
  </si>
  <si>
    <t>Bank of Baroda (e-Dena) Cash Credit Account</t>
  </si>
  <si>
    <t>State Bank of India (e-SBS) Cash Credit Account</t>
  </si>
  <si>
    <t>Interest Accrued &amp; Due on Loan from GoG-SKY Scheme</t>
  </si>
  <si>
    <t>Interest Accrued &amp; Due on Loan from GoG-Sky Scheme-EBI</t>
  </si>
  <si>
    <t>35% Loan from GoG-SKY Scheme</t>
  </si>
  <si>
    <t>30% Loan from GoG-SKY Scheme(EBI)</t>
  </si>
  <si>
    <t>LOAN TO GEB UNDER APDP.</t>
  </si>
  <si>
    <t>CONS.CONTRI.TOWARDS COST OFCAP.ASSETS</t>
  </si>
  <si>
    <t>Consumers Contribution towards SKY Scheme</t>
  </si>
  <si>
    <t>Government grants (Impact of EAC opinion)</t>
  </si>
  <si>
    <t>Consumer Contribution (Impact of EAC opinion)</t>
  </si>
  <si>
    <t>GRANT RECD FR GOVT. UNDER JYOTI GRAM YOJNA</t>
  </si>
  <si>
    <t>Grant for assets other than SPV panel under SKY Scheme</t>
  </si>
  <si>
    <t>Grant under RAPDRP &amp; SCADA Scheme (Converted from GOI Loan)</t>
  </si>
  <si>
    <t>Deferred Income towards Government Grants/Consumer</t>
  </si>
  <si>
    <t>Consumer?s contribution towards cost of capital as</t>
  </si>
  <si>
    <t>Subsidies towards cost of capital assets</t>
  </si>
  <si>
    <t>GRANTS TOWARDS COST OF CAPITAL ASSETS</t>
  </si>
  <si>
    <t>Grant under Accelerated Power Development Program</t>
  </si>
  <si>
    <t>Re-measurement of Defined Benefit Plans-(OCI)- Ind</t>
  </si>
  <si>
    <t>SUBSCRIBED SHARE CAPITAL</t>
  </si>
  <si>
    <t>SHARE APPLICATION MONEY A/C</t>
  </si>
  <si>
    <t>SECURITIES PREMIUM ACCOUNT</t>
  </si>
  <si>
    <t>REV FRM SALE OF PWR-DOMESTIC</t>
  </si>
  <si>
    <t>REV FRM SALE OF PWR-DOMESTIC-DEMAND/F.CHARGE</t>
  </si>
  <si>
    <t>REV FRM SALE OF PWR-DOMESTIC-ENERGY CHRG</t>
  </si>
  <si>
    <t>REV FRM SALE OF PWR-DOMESTIC-F.C.ADJ.CH. .</t>
  </si>
  <si>
    <t>REVENUE FROM SALE OF PWR-PROVI.BILLING-RESIDENTIAL</t>
  </si>
  <si>
    <t>REV FRM SALE OF PWR-DOMESTIC-ADJ.TO PAST BLNGS.</t>
  </si>
  <si>
    <t>REV FRM SALE OF PWR-DOMESTIC-BORD CHRG DEBIT</t>
  </si>
  <si>
    <t>REV FRM SALE OF PWR-COMMERCIAL</t>
  </si>
  <si>
    <t>REV FRM SALE OF PWR-COMM.-DEMAND/FIX CH.</t>
  </si>
  <si>
    <t>REVNUE FRM SALE OF PWR-COMMERCIAL-ENERGY CHRGS</t>
  </si>
  <si>
    <t>REV FRM SALE OF PWR-COMMERCIAL-F.C.ADJ.CHRGS.</t>
  </si>
  <si>
    <t>REVENUE FROM SALE OF POWER-PROVI.BILLING-COMMERCIA</t>
  </si>
  <si>
    <t>REV FRM SALE OF PWR-COMERCIL-ADJ.TO PAST BLNG</t>
  </si>
  <si>
    <t>REV FRM SALE OF PWR-COMERCIAL-T.BORD CHRG DIBIT</t>
  </si>
  <si>
    <t>REV FRM SALE OF PWR-INDUSTRIAL-L T</t>
  </si>
  <si>
    <t>REV FRM SAL OF PWR IND-L T DEMAND/F.CHRGS</t>
  </si>
  <si>
    <t>REV FRM SALE OF PWR-IND-L T- ENERGY CHRGS</t>
  </si>
  <si>
    <t>REV FRM SAL OF PWR-IND-L T-F.C.ADJ.CHRGS</t>
  </si>
  <si>
    <t>REV FRM SAL OF PWR-IND-L T-A.M.C/A.M.G.</t>
  </si>
  <si>
    <t>REVENUE FROM SALE OF POWER-PROVI.BILLING-IND.LOW&amp;M</t>
  </si>
  <si>
    <t>REV FRM SAL OF PWR-IND-L T-ADJ TO PAST BLNG</t>
  </si>
  <si>
    <t>REV FRM SAL OF PWR-IND-L T-BORD CHRG DIBIT</t>
  </si>
  <si>
    <t>REV.FRM SAL OF PWR-INDUSTR IAL H T</t>
  </si>
  <si>
    <t>REV FRM SAL OF PWR-IND-H T-DEMAND CHRGS</t>
  </si>
  <si>
    <t>REV FRM SAL OF PWR-IND-H T-ENERGY CHRGS</t>
  </si>
  <si>
    <t>REV FRM SAL OF PWR-IND-H T-TIME OF USE CHRG</t>
  </si>
  <si>
    <t>REV FRM SAL OF PWR-IND-H T-F.C ADJ.CHRG</t>
  </si>
  <si>
    <t>REV FRM SAL OF PWR-IND-H T-OTHER CHRGS</t>
  </si>
  <si>
    <t>REV FRM SAL OF PWR-IND-H T-AD.TO PAST BLNG</t>
  </si>
  <si>
    <t>REV FRM SAL OF PWR-IND-H T-CONCESSIONS</t>
  </si>
  <si>
    <t>REV FRM SAL OF PWR-IND-H T-BRD CHRG DIBIT</t>
  </si>
  <si>
    <t>REVENUE FRM SALE OF PWR-TRACTION-RAILWAYS</t>
  </si>
  <si>
    <t>REVENUE FRM SALE OF PWR-IRRIGATION-AG</t>
  </si>
  <si>
    <t>REV.FR SALE OF POWER-PROVI.BILLING-IRRIGATION AG-R</t>
  </si>
  <si>
    <t>REV FRM SALE OF PWR-PUBLIC W/W &amp; SEWERAGE</t>
  </si>
  <si>
    <t>REVENUE FROM SALE OF POWER-PROVI.BILLING-PUBLIC WA</t>
  </si>
  <si>
    <t>Revenue from Sale of Power-PWW-Concessions/Rebate-</t>
  </si>
  <si>
    <t>ED ASSESSED-DOMESTIC OR RESIDENTIAL CR.A/C.</t>
  </si>
  <si>
    <t>ED ASSESSED-COMMERCIAL_CR A/C</t>
  </si>
  <si>
    <t>ED ASSESSED -IND. LOW &amp; MED VOLT -CR A/C</t>
  </si>
  <si>
    <t>ED ASSESSED INDUSTRIAL HIGHVOLTAGE CREDIT A/C</t>
  </si>
  <si>
    <t>ED ASSESSED IRRIGATION-AGRI CR A/C</t>
  </si>
  <si>
    <t>ED ASSESSED-PUBLIC WATER WORKS-CR A/C</t>
  </si>
  <si>
    <t>ED ASSESSED IRRI. PDC CONSUMERS.</t>
  </si>
  <si>
    <t>ED ASSESSED BILLS TO NON CONSUMERS FOR THEFT</t>
  </si>
  <si>
    <t>ELECT.DUTY ASSESSED (CONTRA)-DEBIT</t>
  </si>
  <si>
    <t>RENTAL FR MTRS SERVCE LINE CAPCITOR ETC</t>
  </si>
  <si>
    <t>RECOV.FR THEFTS OF PWR &amp; MALPRACTICES</t>
  </si>
  <si>
    <t>WHEELING CHARGES RECOVERIES-OTHERS</t>
  </si>
  <si>
    <t>FUSE CHRGS</t>
  </si>
  <si>
    <t>RECONNECTION FEE</t>
  </si>
  <si>
    <t>REV FRM MINI BILLS TO UNCONNECTED CNSMS</t>
  </si>
  <si>
    <t>REV.FRM MINIMUM BILLS TO DISCONCTD CNSMS</t>
  </si>
  <si>
    <t>Meter Testing Charges</t>
  </si>
  <si>
    <t>METER REPAIRING CHARGES FROM CONSUMERS</t>
  </si>
  <si>
    <t>METER BOX CHRGS</t>
  </si>
  <si>
    <t>REGISTRATION CHARGES FOR RESISTING APPLN.FOR POW</t>
  </si>
  <si>
    <t>SERVICE CONNECTION CHARGES FROM CONSUMERS</t>
  </si>
  <si>
    <t>INSPECTION FEE</t>
  </si>
  <si>
    <t>PARALLEL OPERATION CHARGES</t>
  </si>
  <si>
    <t>OTHER CHRGS FRM CNSMS</t>
  </si>
  <si>
    <t>APPLICATION REGISTRATION CHGS</t>
  </si>
  <si>
    <t>CROSS SUBSIDY SURCHARGE FROM ACCESS CONSUMERS</t>
  </si>
  <si>
    <t>ADDITIONAL SURCHARGE FROM OPEN ACCESS CONSUMERS</t>
  </si>
  <si>
    <t>Connectivity Charges for Solar</t>
  </si>
  <si>
    <t>Bi-Directional Meter Charges with SMC Box - Solar</t>
  </si>
  <si>
    <t>Bi-Directional Meter Testing Charges Solar Roo</t>
  </si>
  <si>
    <t>Connectivity Charges for Small Scale Distributed Solar Projects</t>
  </si>
  <si>
    <t>Supervision Charges for Small Scale Distributed Solar Projects</t>
  </si>
  <si>
    <t>INT. ON H.B.A TO STAFF</t>
  </si>
  <si>
    <t>INT. ON OTHER LOANS &amp; ADVANCE TO STF</t>
  </si>
  <si>
    <t>DPC-HT CONS.-IND. HIGH VOLTAGE CONS.</t>
  </si>
  <si>
    <t>DPC-HT-IRRIGATION AGRICULTURE</t>
  </si>
  <si>
    <t>DPC-HT-PDC</t>
  </si>
  <si>
    <t>DPC-HT-UNCONNECTED CONSUMERS</t>
  </si>
  <si>
    <t>DPC-LT-RESIDENTIIAL/DOMESTIC L</t>
  </si>
  <si>
    <t>DPC-LT-COMMERCIAL</t>
  </si>
  <si>
    <t>DPC-LT-IND.LOW &amp; MEDIUM VOLTAGE</t>
  </si>
  <si>
    <t>DPC-LT-IRRIGATION AGRICULTURE</t>
  </si>
  <si>
    <t>DPC-LT-PUB.WATER WORKS &amp; SEWERAGE PUMPS</t>
  </si>
  <si>
    <t>DPC-LT-PDC CONSUMERS</t>
  </si>
  <si>
    <t>DPC-LT-UNCONNECTED CONSUMERS</t>
  </si>
  <si>
    <t>SALE OF SCRAP</t>
  </si>
  <si>
    <t>INCOME FRM RENTALS-STAFF QUARTERS</t>
  </si>
  <si>
    <t>GUEST HOUSE CHRGS</t>
  </si>
  <si>
    <t>INC FRM WATER CHRGS REC. FRM EMP/CONT</t>
  </si>
  <si>
    <t>REC FR TPT &amp; VEHI EXP OTHERTHAN STAFF</t>
  </si>
  <si>
    <t>CASH DISCOUNT</t>
  </si>
  <si>
    <t>Tender Fees</t>
  </si>
  <si>
    <t>INC.FRM SUPRVSION CHGS ON SALE OF STORE</t>
  </si>
  <si>
    <t>INCOME FROM SUP.CH. ON EXC.OF JOB/DEPOSIT WORK.</t>
  </si>
  <si>
    <t>REGISTRATION FEES-SUPPLRS CONTRACTORS</t>
  </si>
  <si>
    <t>PENALTIES REC.FRM SUPPLIER/CONTRCTR</t>
  </si>
  <si>
    <t>PENALTY AGAINST ADV FR EMPLOYEES</t>
  </si>
  <si>
    <t>INS.PREMIUM RECOVERED FOR HBA LOAN</t>
  </si>
  <si>
    <t>REBATE (CASH DISCOUNT) FOR PROMPT PAYMENT AGAINST PURCHASE OF POWER</t>
  </si>
  <si>
    <t>Penalties recovered from Suppliers / Contractors - Surya Gujarat Schema</t>
  </si>
  <si>
    <t>OTHER MISCELLANEOUS RECEIPTS</t>
  </si>
  <si>
    <t>Receipt under Right to Information Act, 2005</t>
  </si>
  <si>
    <t>Other Miscellaneous Receipts- Ind AS</t>
  </si>
  <si>
    <t>POWER PURCHASED FROM WIND FARMS</t>
  </si>
  <si>
    <t>POWER PURCHASED FROM RENEWABLE SOURCES</t>
  </si>
  <si>
    <t>Purchase/Adjustments of Renewable Attribute</t>
  </si>
  <si>
    <t>Power Purchased from Roof Top Solar Consumers(By D</t>
  </si>
  <si>
    <t>Purchase of Material(Inter-Company Sale)</t>
  </si>
  <si>
    <t>R &amp; M TO PLANT AND MACHI&amp;TRANS</t>
  </si>
  <si>
    <t>R&amp;M INCURRED ON RESTO-ION OF DAMAGE DUETO FLOOD&amp;CY</t>
  </si>
  <si>
    <t>R &amp; M TO BUILDINGS</t>
  </si>
  <si>
    <t>R &amp; M TO VEHICLES</t>
  </si>
  <si>
    <t>R &amp; M TO FURNITURE FIX ETC</t>
  </si>
  <si>
    <t>SPECIAL COMP. ALLOWANCE</t>
  </si>
  <si>
    <t>H.R.A.</t>
  </si>
  <si>
    <t>C.L.A.</t>
  </si>
  <si>
    <t>FIELD ALLOWANCE</t>
  </si>
  <si>
    <t>OTHER ALLOWANCE</t>
  </si>
  <si>
    <t>SPECIAL ALLOWANCE</t>
  </si>
  <si>
    <t>PERFORMANCE INCENTIVE</t>
  </si>
  <si>
    <t>MEDICAL EXPENSES REIMBURSEMENT</t>
  </si>
  <si>
    <t>LEAVE TRAVEL CONCESSION (L.T.C.)</t>
  </si>
  <si>
    <t>EARNED LEAVE ENCASHMENT</t>
  </si>
  <si>
    <t>DEATH &amp; ACCIDENTAL COMPENSATION</t>
  </si>
  <si>
    <t>PAYMNTS UNDER WRKMEN-S COMPNSATION</t>
  </si>
  <si>
    <t>BORD-S CONTRI. UNDER B-BAY L.W ACT</t>
  </si>
  <si>
    <t>E.D.L.I.ADMINISTRATION CHRGS</t>
  </si>
  <si>
    <t>UNIFRMS &amp; LIVERY EXPENSES</t>
  </si>
  <si>
    <t>RECREATION EXPENSES</t>
  </si>
  <si>
    <t>DIFFERRENTIAL AMT OF EMPLOYEES CONTR &amp; PAYM UND SR</t>
  </si>
  <si>
    <t>OTHER STAFF-WELFARE EXPENSES</t>
  </si>
  <si>
    <t>PAYMENT ON COMPN TO DEPENDTOF DECSED EMPL</t>
  </si>
  <si>
    <t>PERQUISITE TAX</t>
  </si>
  <si>
    <t>C.P.F.-BOARD-S CONTRI.</t>
  </si>
  <si>
    <t>GRATUITY</t>
  </si>
  <si>
    <t>C.P.F.INSPECTION AND AUDIT CHRGS</t>
  </si>
  <si>
    <t>PENSION -BOARD-S CONTRIBUTION</t>
  </si>
  <si>
    <t>LEAVE ENCASHMENT ON RETIREMENT</t>
  </si>
  <si>
    <t>Retirement Benefit to Employees</t>
  </si>
  <si>
    <t>Rent(Excluding Lease Rentals)</t>
  </si>
  <si>
    <t>RATES &amp; TAXES</t>
  </si>
  <si>
    <t>PENALTIES ON STATUTORY LEVIES</t>
  </si>
  <si>
    <t>INSURANCE ON VEHICLES</t>
  </si>
  <si>
    <t>TESTING CHARGES</t>
  </si>
  <si>
    <t>TELEPHONES AND TRUNKCALLS</t>
  </si>
  <si>
    <t>POSTAGE AND TELEGRAMS</t>
  </si>
  <si>
    <t>COURIER CHARGES</t>
  </si>
  <si>
    <t>FAX CHARGES</t>
  </si>
  <si>
    <t>Mobile Phone Expenses</t>
  </si>
  <si>
    <t>Insurance on SKY Scheme</t>
  </si>
  <si>
    <t>Lease Rent</t>
  </si>
  <si>
    <t>Fees to auditors for other works</t>
  </si>
  <si>
    <t>LEGAL CHRGS</t>
  </si>
  <si>
    <t>CONSULTANCY FEES AND EXPENSES</t>
  </si>
  <si>
    <t>TECHNICAL FEES</t>
  </si>
  <si>
    <t>OTHER PROF FEES AND EXPENSES</t>
  </si>
  <si>
    <t>DOCUMENTATION AND DESIGN CHARGES</t>
  </si>
  <si>
    <t>HONORARIUM</t>
  </si>
  <si>
    <t>Expense for use of hotel, Boarding and Lodging fac</t>
  </si>
  <si>
    <t>CONVEYANCE</t>
  </si>
  <si>
    <t>TRAVELLING EXPENSES</t>
  </si>
  <si>
    <t>TRAVELLING ALLOWANCE (T.A.)</t>
  </si>
  <si>
    <t>Vehicle Running Expenses-Petrol, Oil, Toll Tax, etc.(Other than for Trucks &amp; Delivery vans)</t>
  </si>
  <si>
    <t>VEHICLE HIRING CHARGES</t>
  </si>
  <si>
    <t>VEHICLES LICENCE AND REG FEES</t>
  </si>
  <si>
    <t>Expenditure under Surya Urja Rooftop Yojna (Surya Gujarat)</t>
  </si>
  <si>
    <t>Expenditure under PM-KUSUM Awareness campaign</t>
  </si>
  <si>
    <t>DIRECTORS FEES</t>
  </si>
  <si>
    <t>OTHER FEES &amp; SUBSCRIPTIONS</t>
  </si>
  <si>
    <t>BOOKS AND PRDICALS</t>
  </si>
  <si>
    <t>PRINTING &amp; STATIONERY</t>
  </si>
  <si>
    <t>EXPENDITURE ON COMPUTER BILLING &amp; EDP CHAGS.</t>
  </si>
  <si>
    <t>ADVT EXP.(OTHER THAN PURCHASE RELATED)</t>
  </si>
  <si>
    <t>ZEROX COPY CHARGES</t>
  </si>
  <si>
    <t>ELECTRICITY CHRGS</t>
  </si>
  <si>
    <t>WATER CHRGS</t>
  </si>
  <si>
    <t>ENTERTAINMENT</t>
  </si>
  <si>
    <t>EXP.ON CORPORATE SOCIAL RESPONSIBILITY (CSR)ACTIVI</t>
  </si>
  <si>
    <t>GUEST HOUSE EXPENSES</t>
  </si>
  <si>
    <t>UPKEEP OF OFFICE/BOARD-S PREMISES.</t>
  </si>
  <si>
    <t>EXPENSES FOR JYOTIGRAM SAMARPAN SAMAROH</t>
  </si>
  <si>
    <t>EXPENDITURE INCURRED ON CONSUMER BILLING &amp; COLL. C</t>
  </si>
  <si>
    <t>SECURITY MEARURES FOR SAFETY AND PROTECTION</t>
  </si>
  <si>
    <t>GARDENING &amp; HORTICULTURAL EXPENSES</t>
  </si>
  <si>
    <t>CONFERENCE/MEETING EXPENSES</t>
  </si>
  <si>
    <t>Bill Collection charges paid to various agencies</t>
  </si>
  <si>
    <t>Bill Collection charges paid to E-Gram Panchayat</t>
  </si>
  <si>
    <t>BILL COLL CHGS PAID TO EMPLYEES FOR COLL OF CONS B</t>
  </si>
  <si>
    <t>HOSPITALITY EXPENSES</t>
  </si>
  <si>
    <t>Vehicle Expenses for Motor ? Car.</t>
  </si>
  <si>
    <t>EXP.ON SPONSORSHIP OF SPORTS EVENT OR ANY OTHER EV</t>
  </si>
  <si>
    <t>Advertisement/Other Expenses for Sales Promotion.</t>
  </si>
  <si>
    <t>Expenses for use of Sports Club or Similar facilit</t>
  </si>
  <si>
    <t>EXPENSES FOR GIFT TO EMPLOYEES</t>
  </si>
  <si>
    <t>Expenses for Lok Adalat.</t>
  </si>
  <si>
    <t>EXPENSES FOR CELEBRATION OFEVENTS/FESTIVAL/ETC</t>
  </si>
  <si>
    <t>MISCELLANEOUS EXPENSES</t>
  </si>
  <si>
    <t>Expenditure for COVID-19 Pandemic.</t>
  </si>
  <si>
    <t>Expenditure for Kisan Suryoday Yojna (KSY)</t>
  </si>
  <si>
    <t>LICENSE FEES TO GERC LICENSE FEES TO GUJARAT</t>
  </si>
  <si>
    <t>SLDC CHARGES</t>
  </si>
  <si>
    <t>FREIGHT ON CAP. EQUIPMENT</t>
  </si>
  <si>
    <t>OTHER FREIGHT</t>
  </si>
  <si>
    <t>EXP FR TRUCKS-DELVR VAN PETROL&amp;OIL</t>
  </si>
  <si>
    <t>ADVT.OF TENDERS ETC.</t>
  </si>
  <si>
    <t>INCIDENTAL STORES EXPENSES</t>
  </si>
  <si>
    <t>FABRICATION CHRGS</t>
  </si>
  <si>
    <t>REV.STAMPS ON RECPTS ISUED BY BOARD</t>
  </si>
  <si>
    <t>EXPENDITURE ON TRAINING TO STAFF.</t>
  </si>
  <si>
    <t>AMORTISATION OF LEASEHOLD ASETS</t>
  </si>
  <si>
    <t>DEP ON BUILDINGS</t>
  </si>
  <si>
    <t>DEP ON HYDRAULIC WORKS</t>
  </si>
  <si>
    <t>DEP ON OTHER CIVIL WORKS</t>
  </si>
  <si>
    <t>DEP ON PLANT &amp; MACHINARY</t>
  </si>
  <si>
    <t>DEPRI.ON LINES CABLE NET-WORK ETC.</t>
  </si>
  <si>
    <t>DEP ON VEHICLES</t>
  </si>
  <si>
    <t>DEP.ON FURNITURE FIX ETC</t>
  </si>
  <si>
    <t>DEP ON OFFICE EQUIPMENT</t>
  </si>
  <si>
    <t>Depreciation on Computers and Computer related equipments</t>
  </si>
  <si>
    <t>INT ON ADVANCE PAYMENT BY CONSUMERS</t>
  </si>
  <si>
    <t>INT.ON LOANS FROM POWER FINANCE CORPORATION.</t>
  </si>
  <si>
    <t>INT. ON CONSUMER-S SECURITYDEPOSITS</t>
  </si>
  <si>
    <t>INT ON SEC. DEPOSIT FR BILLCOLLECTION AGENCIES IN</t>
  </si>
  <si>
    <t>INT.ON STATUTORY LEVIES</t>
  </si>
  <si>
    <t>COSTS OF RAISING FINANCE-STAMP DUTY</t>
  </si>
  <si>
    <t>BANK CHGS-REMITTANCE BETWEEN BRD OFFICES</t>
  </si>
  <si>
    <t>BANK COMMISSION- COLLECTION FROM CONSMR</t>
  </si>
  <si>
    <t>OTHER BANK CHARGS</t>
  </si>
  <si>
    <t>REMMUNERATION TO COLLECTIONAGENCIES</t>
  </si>
  <si>
    <t>Other Bank Charges- Ind AS</t>
  </si>
  <si>
    <t>ENERGY CONSERVATION EXPENDITURE</t>
  </si>
  <si>
    <t>Energy Conservation Expenses A/C Ujala</t>
  </si>
  <si>
    <t>BAD DEBTS WRITTEN OFF-DUES FRM CONSMERS</t>
  </si>
  <si>
    <t>WAIVER OF THE PRINCIPAL DUES UNDER AMNE</t>
  </si>
  <si>
    <t>WAIVER OF DELAYED PAYMENT CHARGES (DPC) UNDER SP S</t>
  </si>
  <si>
    <t>WAIVER OF DELAYED PAYMENT CHARGES UNDER AMNESTY</t>
  </si>
  <si>
    <t>COMP FR INJ DEATH DAMAGE-OUTSIDERS</t>
  </si>
  <si>
    <t>UNITS PURCHASED -WIND FARMS</t>
  </si>
  <si>
    <t>UNITS PURCHASED FROM RENEWABLE SOURCES</t>
  </si>
  <si>
    <t>Units Purchased from Roof Top Solar Consumers(By D</t>
  </si>
  <si>
    <t>DOMESTIC OR RESIDENTIAL-UB</t>
  </si>
  <si>
    <t>COMMERCIAL-UB</t>
  </si>
  <si>
    <t>INDUSTRIAL-LOW &amp; MEDIUM VOLTAGE-UB</t>
  </si>
  <si>
    <t>INDUSTRIAL-HIGH VOLTAGE-UB</t>
  </si>
  <si>
    <t>TRACTION-RAILWAYS-UB</t>
  </si>
  <si>
    <t>IRRIGATION-AGRICULTURAL-UB</t>
  </si>
  <si>
    <t>P/W/W &amp; SEWERAGE PUMPS-UB</t>
  </si>
  <si>
    <t>UNITS BILLED - PDC</t>
  </si>
  <si>
    <t>THEFT OF POWER BILLS.</t>
  </si>
  <si>
    <t>DOMESTIC OR RESIDENTIAL-USNB</t>
  </si>
  <si>
    <t>COMMERCIAL-USNB</t>
  </si>
  <si>
    <t>INDUSTRIAL LOW &amp; MEDIUM VOL-USNB</t>
  </si>
  <si>
    <t>INDUSTRIAL HIGH VOLT-USNB</t>
  </si>
  <si>
    <t>TRACTION-RAILWAYS-USNB</t>
  </si>
  <si>
    <t>IRRIGATION-AGRICULTURAL-USNB</t>
  </si>
  <si>
    <t>P/W/W &amp; SAWERAGE PUMPS-USNB</t>
  </si>
  <si>
    <t>SUPPLIES IN BULK TO OTHERS-USNB</t>
  </si>
  <si>
    <t>DAKSHIN GUJARAT VIJ COMPANY LIMITED</t>
  </si>
  <si>
    <t>POWER PURCHASE FROM GUVNL</t>
  </si>
  <si>
    <t xml:space="preserve">SALE OF POWER </t>
  </si>
  <si>
    <t>NET PP COST</t>
  </si>
  <si>
    <t xml:space="preserve">Month </t>
  </si>
  <si>
    <t xml:space="preserve">Unit </t>
  </si>
  <si>
    <t xml:space="preserve">Rate </t>
  </si>
  <si>
    <t xml:space="preserve"> Amount </t>
  </si>
  <si>
    <t xml:space="preserve">GUVNL Amount </t>
  </si>
  <si>
    <t>Mus</t>
  </si>
  <si>
    <t>Rs. In Crores</t>
  </si>
  <si>
    <t>Rate</t>
  </si>
  <si>
    <t>Unit purchase from GUVNL</t>
  </si>
  <si>
    <t>Unit purchase from wind farm</t>
  </si>
  <si>
    <t>Solar power Purchase</t>
  </si>
  <si>
    <t>DSM Over drawal</t>
  </si>
  <si>
    <t>Sub total</t>
  </si>
  <si>
    <t>DSM under drawal</t>
  </si>
  <si>
    <t>Units sold by GUVNL</t>
  </si>
  <si>
    <t>Net Power Purchase Units</t>
  </si>
  <si>
    <t xml:space="preserve">Adjustments / Provisions </t>
  </si>
  <si>
    <t>Less: Other Exp. Capitalised</t>
  </si>
  <si>
    <t>Less: Interest Exp. Capitalised</t>
  </si>
  <si>
    <t>Half yearly Budget-22-23</t>
  </si>
  <si>
    <t>Gratuity</t>
  </si>
  <si>
    <t>FY 2021-22</t>
  </si>
  <si>
    <t>H-1 22-23</t>
  </si>
  <si>
    <t xml:space="preserve">Actual booking </t>
  </si>
  <si>
    <t>Adjustment</t>
  </si>
  <si>
    <t>ELE</t>
  </si>
  <si>
    <t>Performance Incentive</t>
  </si>
  <si>
    <t>E-urja expenses</t>
  </si>
  <si>
    <t>OCI - Gratuity</t>
  </si>
  <si>
    <t>UI ACCOUNT FY:2022-23</t>
  </si>
  <si>
    <t>Weekly Summary</t>
  </si>
  <si>
    <t>SCHEDULE (MWH)</t>
  </si>
  <si>
    <t>DRAWL (MWH)</t>
  </si>
  <si>
    <t>DIFFERENCE in MWH (Under Drawl)</t>
  </si>
  <si>
    <t>DIFFERENCE in MWH (Over Drawl)</t>
  </si>
  <si>
    <t>RECEIVABLE
(Rs.)</t>
  </si>
  <si>
    <t>PAYABLE
(Rs.)</t>
  </si>
  <si>
    <t>Week No</t>
  </si>
  <si>
    <t>Revision</t>
  </si>
  <si>
    <t>Week Period</t>
  </si>
  <si>
    <r>
      <t xml:space="preserve">Net UI Amount
</t>
    </r>
    <r>
      <rPr>
        <b/>
        <sz val="11"/>
        <color indexed="60"/>
        <rFont val="Tahoma"/>
        <family val="2"/>
      </rPr>
      <t xml:space="preserve">As per SLDC website data </t>
    </r>
  </si>
  <si>
    <t>5=3-4</t>
  </si>
  <si>
    <t>6=4-3</t>
  </si>
  <si>
    <t>01.04.2022 to 03.04.2022</t>
  </si>
  <si>
    <t>04.04.2022 to 10.04.2022</t>
  </si>
  <si>
    <t>11.04.2022 to 17.04.2022</t>
  </si>
  <si>
    <t>18.04.2022 to 24.04.2022</t>
  </si>
  <si>
    <t>25.04.2022 to 01.05.2022</t>
  </si>
  <si>
    <t>02.05.2022 to 08.05.2022</t>
  </si>
  <si>
    <t>09.05.2022 to 15.05.2022</t>
  </si>
  <si>
    <t>16.05.2022 to 22.05.2022</t>
  </si>
  <si>
    <t>23.05.2022 to 29.05.2022</t>
  </si>
  <si>
    <t>30.05.2022 to 05.06.2022</t>
  </si>
  <si>
    <t>06.06.2022 to 12.06.2022</t>
  </si>
  <si>
    <t>13.06.2022 to 19.06.2022</t>
  </si>
  <si>
    <t>20.06.2022 to 26.06.2022</t>
  </si>
  <si>
    <t>27.06.2022 to 03.07.2022</t>
  </si>
  <si>
    <t>Total</t>
  </si>
  <si>
    <t xml:space="preserve">LEGENDS : </t>
  </si>
  <si>
    <t>(+VE ) PAYABLE</t>
  </si>
  <si>
    <t>(-VE) RECEIVABLE</t>
  </si>
  <si>
    <t>SCHEDULE/DRAWL IN MWH</t>
  </si>
  <si>
    <t>Remarks</t>
  </si>
  <si>
    <t>STATEMENT SHOWING DETAILS OF POWER PURCHASE COST (01.04.2022 to 31.03.2023) PROVISIONAL</t>
  </si>
  <si>
    <t>Actual as per Trial Balance 
i-FAS</t>
  </si>
  <si>
    <t>Category-Wise Consumption and Revenue</t>
  </si>
  <si>
    <t>Q-1</t>
  </si>
  <si>
    <t>Q-2</t>
  </si>
  <si>
    <t>Category</t>
  </si>
  <si>
    <t>Revenue     (Cr)</t>
  </si>
  <si>
    <t>Avg. Rate</t>
  </si>
  <si>
    <t>Avg. Rate 2021-22</t>
  </si>
  <si>
    <t>Residential</t>
  </si>
  <si>
    <t>General Lighting Purpose</t>
  </si>
  <si>
    <t>Manufacturing &amp; Service Industries</t>
  </si>
  <si>
    <t>HT Industries</t>
  </si>
  <si>
    <t>Railway Traction</t>
  </si>
  <si>
    <t>Agricultural</t>
  </si>
  <si>
    <t>Water Works</t>
  </si>
  <si>
    <t>P.D.C</t>
  </si>
  <si>
    <t>Other Misc. ( N/C &amp; U/C)</t>
  </si>
  <si>
    <t>10029 ( AIMNS)</t>
  </si>
  <si>
    <t>10035 (POC)</t>
  </si>
  <si>
    <t>39120 (POC)</t>
  </si>
  <si>
    <t>Set-Off Units W/F, OA, Solar Etc..</t>
  </si>
  <si>
    <t>AG Subsidy</t>
  </si>
  <si>
    <t>Tariff Compensation</t>
  </si>
  <si>
    <t>Metered Tariff</t>
  </si>
  <si>
    <t>FPPPA</t>
  </si>
  <si>
    <t>Adj. of AG assessed Mus, Unit setoff &amp; unbilled Mus</t>
  </si>
  <si>
    <t>Tantive - Allocation of subsidy received upto Sept-2022</t>
  </si>
  <si>
    <t>(Rs. In Crores)</t>
  </si>
  <si>
    <t>DISCOMs</t>
  </si>
  <si>
    <t>TARIFF</t>
  </si>
  <si>
    <t>HP BASE</t>
  </si>
  <si>
    <t>AG</t>
  </si>
  <si>
    <t>WW</t>
  </si>
  <si>
    <t>MGVCL</t>
  </si>
  <si>
    <t>PGVCL</t>
  </si>
  <si>
    <t>UGVCL</t>
  </si>
  <si>
    <t>Provisional allocation made by GUVNL is considered in P&amp;L</t>
  </si>
  <si>
    <t>Rs.20.26 cr adjustment of CSS + ASC</t>
  </si>
  <si>
    <t>Provisional Sale of Power to DISCOM</t>
  </si>
  <si>
    <t>Remark</t>
  </si>
  <si>
    <t>R-04</t>
  </si>
  <si>
    <t>R-03</t>
  </si>
  <si>
    <t>R-02</t>
  </si>
  <si>
    <t>Element-wise subsidy amount considered in P&amp;L Statement submitted to GUVNL:</t>
  </si>
  <si>
    <t xml:space="preserve">Tariff Compensation </t>
  </si>
  <si>
    <t>Waterworks</t>
  </si>
  <si>
    <t>AG Subsidy - HP based</t>
  </si>
  <si>
    <t>Total:</t>
  </si>
  <si>
    <r>
      <t>Financial Results at a glance</t>
    </r>
    <r>
      <rPr>
        <sz val="12"/>
        <color rgb="FF000000"/>
        <rFont val="Tahoma"/>
        <family val="2"/>
      </rPr>
      <t xml:space="preserve">:  </t>
    </r>
  </si>
  <si>
    <r>
      <t>(</t>
    </r>
    <r>
      <rPr>
        <sz val="12"/>
        <color rgb="FF000000"/>
        <rFont val="Tahoma"/>
        <family val="2"/>
      </rPr>
      <t>₹</t>
    </r>
    <r>
      <rPr>
        <b/>
        <sz val="12"/>
        <color rgb="FF000000"/>
        <rFont val="Tahoma"/>
        <family val="2"/>
      </rPr>
      <t>In Crores)</t>
    </r>
  </si>
  <si>
    <t>2021-22</t>
  </si>
  <si>
    <t>2022-23</t>
  </si>
  <si>
    <t>H1</t>
  </si>
  <si>
    <t xml:space="preserve">H1 </t>
  </si>
  <si>
    <t>Provisional and Unaudited</t>
  </si>
  <si>
    <t>Income:</t>
  </si>
  <si>
    <t>Revenue from Operations</t>
  </si>
  <si>
    <t>Other Income</t>
  </si>
  <si>
    <t>Total Income</t>
  </si>
  <si>
    <t xml:space="preserve">Expenses: </t>
  </si>
  <si>
    <t>Purchase of Power</t>
  </si>
  <si>
    <t>EmployeeBenefit Expenses</t>
  </si>
  <si>
    <t>Depreciation and Amortization Expenses</t>
  </si>
  <si>
    <t>Other expenses (net off expenditure capitalized)</t>
  </si>
  <si>
    <t>Total Expenses</t>
  </si>
  <si>
    <t>Profit before tax</t>
  </si>
  <si>
    <t>Consumer Category</t>
  </si>
  <si>
    <t>Residential / RGP</t>
  </si>
  <si>
    <t>GLP</t>
  </si>
  <si>
    <t>LTMD / NRGP</t>
  </si>
  <si>
    <t>Industrial HT</t>
  </si>
  <si>
    <t>Railways</t>
  </si>
  <si>
    <t xml:space="preserve">Agriculture  </t>
  </si>
  <si>
    <t>ARR on Rev from Operations</t>
  </si>
  <si>
    <t> Q-2</t>
  </si>
  <si>
    <t>H1 </t>
  </si>
  <si>
    <t>Power Purchase from GUVNL (M Us)</t>
  </si>
  <si>
    <t>Power Sold to Consumer   (M Us)</t>
  </si>
  <si>
    <t>Sr.No.</t>
  </si>
  <si>
    <t>Particular</t>
  </si>
  <si>
    <t>FY 2022-23</t>
  </si>
  <si>
    <t>FY 2020-21</t>
  </si>
  <si>
    <t>Annual</t>
  </si>
  <si>
    <t>PBT to Turn Over</t>
  </si>
  <si>
    <t>Power Cost to Sales</t>
  </si>
  <si>
    <t>Power Cost to Total Cost</t>
  </si>
  <si>
    <t>R&amp;M to Total Cost</t>
  </si>
  <si>
    <t>Employee Cost to Total Cost</t>
  </si>
  <si>
    <t>Quarter ended 30.06.2021</t>
  </si>
  <si>
    <t>Power Purchase Cost to Sales</t>
  </si>
  <si>
    <t>Key Ratios</t>
  </si>
  <si>
    <t>Adjustments in Emp. Cost</t>
  </si>
  <si>
    <t>04.07.2022 to 10.07.2022</t>
  </si>
  <si>
    <t>PROFIT AND LOSS ACCOUNT FOR THE HALF YEAR ENDED December ,2022</t>
  </si>
  <si>
    <t>616 to 619</t>
  </si>
  <si>
    <t>A/C Code</t>
  </si>
  <si>
    <t>PRIOR-PRD INCOME</t>
  </si>
  <si>
    <t>CWIP TRANSMISSION</t>
  </si>
  <si>
    <t>RDSS Scheme</t>
  </si>
  <si>
    <t>REVENUE FRM SALE OF PWR-INT-STATE</t>
  </si>
  <si>
    <t>OTHER EXCESS PROV IN PRIOR PERIODS</t>
  </si>
  <si>
    <t>WHEELING CHRGS</t>
  </si>
  <si>
    <t>Misc Hydraulic Works</t>
  </si>
  <si>
    <t>TURBINE-GENERATOR-GAS PWR PLANT</t>
  </si>
  <si>
    <t>CWIP-KADANA-HYDRO-LNS &amp; CABLE NET-WK</t>
  </si>
  <si>
    <t>CWIP REN.&amp;MOD.(C.A.) PLANT &amp; MACHINERY</t>
  </si>
  <si>
    <t>CWIP REN.&amp;MOD.(C.A.) LNS &amp; CABLE NETWK</t>
  </si>
  <si>
    <t>CWIP-WTPS-EXTN-PLANT &amp; MACHINERY</t>
  </si>
  <si>
    <t>CWIP GTPS-EXTN-PLANT &amp; MACHINERY</t>
  </si>
  <si>
    <t>CWIP M-ANJ 2ND CKT 220 LAND &amp; LD RGT</t>
  </si>
  <si>
    <t>CWIP J-BHATIA 2NDCKT 220 LNS &amp; CABLE NT-WK</t>
  </si>
  <si>
    <t>CWIP(RE PLAN) SYS-IMPROV VEHICLES</t>
  </si>
  <si>
    <t>CWIP(RE PLAN) SPL TRANS OTHR CIVIL WK</t>
  </si>
  <si>
    <t>CWIP on Van Bandhu Kalyan Yojana - Plant &amp; Machinery</t>
  </si>
  <si>
    <t>CWIP on Van Bandhu Kalyan Yojana - Lines &amp; Cable Networks</t>
  </si>
  <si>
    <t>Fixed Deposits with Banks/FI/ Corporates,etc. ( maturity less than 3 months )</t>
  </si>
  <si>
    <t>WK-SHOP SUSPENSE-MATERIALS.</t>
  </si>
  <si>
    <t>Total non-cash adjustments of TDS u/s 194Q-Credit</t>
  </si>
  <si>
    <t>BANK OF MAHARASHTRA-DISBURSEMENT BANK ACCOUNT.</t>
  </si>
  <si>
    <t>INTER-UNIT A/C-SIKKA THERMAL POWER STATION</t>
  </si>
  <si>
    <t>INTER-UNIT A/C-SURAT(URBAN) O &amp; M DIVISION</t>
  </si>
  <si>
    <t>INTER-UNIT A/C-BARODA O &amp; M DIVISION</t>
  </si>
  <si>
    <t>INTER-UNIT A/C-VISHWAMITRI WEST DIVISION</t>
  </si>
  <si>
    <t>INTER-UNIT A/C-PETLAD O &amp; M DIVISION</t>
  </si>
  <si>
    <t>INTER-UNIT A/C-Borsad O &amp; M DIVISION</t>
  </si>
  <si>
    <t>INTER-UNIT A/C-GODHRA O &amp; M DIVISION</t>
  </si>
  <si>
    <t>INTER-UNIT A/C-SABARMATI O &amp; M DIVISION</t>
  </si>
  <si>
    <t>INTER-UNIT A/C-VISNAGAR O &amp; M DVN</t>
  </si>
  <si>
    <t>Waghai O&amp;M Division</t>
  </si>
  <si>
    <t>INTER-UNIT A/C-PALITANA O &amp; M DIVISION</t>
  </si>
  <si>
    <t>INTER-UNIT A/C-RAJKOT CITY DIV.-II</t>
  </si>
  <si>
    <t>Inter Unit A/c Rajkot City Div-3</t>
  </si>
  <si>
    <t>INTER-UNIT A/C-AMRELI O &amp; M DIVISION</t>
  </si>
  <si>
    <t>INTER-UNIT A/C-MANDVI O &amp; M DIVISION</t>
  </si>
  <si>
    <t>INTER-UNIT A/C-GONDAL O&amp;M DIV.</t>
  </si>
  <si>
    <t>Inter Unit A/c- Rajkot Rural Div</t>
  </si>
  <si>
    <t>PAYMTS.TO SUPP.FOR UNACCTEDSUPP(O&amp;M)</t>
  </si>
  <si>
    <t>PAYMENT OF BONUS-DEBIT AC</t>
  </si>
  <si>
    <t>S.D.FR BILL COLLN AGENCIES IN OTH THN CASH</t>
  </si>
  <si>
    <t>INT.ACCRUED BUT NOT DUE ON LOAN FROM ADB</t>
  </si>
  <si>
    <t>RAILWAY CREDIT NTES-OIL</t>
  </si>
  <si>
    <t>PROVSN FR COST OF STEEL DEBITED TO CWKS</t>
  </si>
  <si>
    <t>DEPO.FROM NTPC FOR TRANS. LINES</t>
  </si>
  <si>
    <t>EXP.ON TR.LINES AGNST DEPOSIT FR-NTPC(DR)</t>
  </si>
  <si>
    <t>Liability for Payment of MNRE subsidy towards Surya Gujarat Scheme</t>
  </si>
  <si>
    <t>SEC DEP FR CONS AGNST ENG BILL-IRRIGATION AG-AL</t>
  </si>
  <si>
    <t>REV FRM SALE OF PWR-MAH-T.BORD CHRGS-DR.</t>
  </si>
  <si>
    <t>Test Report Charges</t>
  </si>
  <si>
    <t>Testing Charges for Transformer/Capacitor/Metering Equipment</t>
  </si>
  <si>
    <t>Meter resealing Charges</t>
  </si>
  <si>
    <t>CT/PT testing charges for HT</t>
  </si>
  <si>
    <t>Meter installation charges</t>
  </si>
  <si>
    <t>Labour charges for Shifting of Meters/Service lines</t>
  </si>
  <si>
    <t>Duplicate bill Charges</t>
  </si>
  <si>
    <t>INT. ON FIXED DEPOSITS WITH BANKS</t>
  </si>
  <si>
    <t>DPC- HT - TRACTION RAILWAYS</t>
  </si>
  <si>
    <t>EXCESS FOUND ON PHYSCAL VER-MAT STOCK</t>
  </si>
  <si>
    <t>RECOVERY OF O&amp;M CHARGES FROM OTHERS.</t>
  </si>
  <si>
    <t>Recovery of Notice Pay from employees</t>
  </si>
  <si>
    <t>OTHER EXCESS PROV IN PR PERIODS</t>
  </si>
  <si>
    <t>POWER PUR FR GUVNL</t>
  </si>
  <si>
    <t>U I CHARGES</t>
  </si>
  <si>
    <t>PREMIUM UNDER GR.INSURANCE SCHEME</t>
  </si>
  <si>
    <t>PENSION TO BOARD-S EMP/DEPUTATION</t>
  </si>
  <si>
    <t>INSURANCE ON FIXED ASETS</t>
  </si>
  <si>
    <t>INSURANCE ON STOCKS</t>
  </si>
  <si>
    <t>ANNUAL INSP &amp; INSTT CHK FEE-CH.E.I.-GNGR</t>
  </si>
  <si>
    <t>AUDIT FEES</t>
  </si>
  <si>
    <t>Vehicle Licenses and Registration Fees for Motor ?</t>
  </si>
  <si>
    <t>FAB.CHGS ABSORBD IN COST OF FAB-CR</t>
  </si>
  <si>
    <t>UNITS PURCHASED FR ADANI POWER LTD</t>
  </si>
  <si>
    <t>UNITS PUR FR GUVNL</t>
  </si>
  <si>
    <t>TOTAL REV</t>
  </si>
  <si>
    <t>TOTAL COST</t>
  </si>
  <si>
    <t>62 &amp; 64-LESS 73</t>
  </si>
  <si>
    <t>70-70410-70190</t>
  </si>
  <si>
    <t>DAKSHIN GUJARAT VIJ COMPANY LTD</t>
  </si>
  <si>
    <t>Date 01/02/2023 06:45:35 am</t>
  </si>
  <si>
    <t>Trial Balance For The Period</t>
  </si>
  <si>
    <t>Company ID: 1</t>
  </si>
  <si>
    <t>Location ID:</t>
  </si>
  <si>
    <t>Generated on 01.02.2023. without Power Purchase )</t>
  </si>
  <si>
    <t>Quarter ended 31.12.2022</t>
  </si>
  <si>
    <t>Adjusted / Unaudited P&amp;L for Q3 For F.Y.2022-23</t>
  </si>
  <si>
    <t>Annexure-A</t>
  </si>
  <si>
    <t>Profitability at a glance and Budget for 2023-24</t>
  </si>
  <si>
    <t>(Rs. In Crore)</t>
  </si>
  <si>
    <t>Sch</t>
  </si>
  <si>
    <t>Actual           2021-22</t>
  </si>
  <si>
    <t>Actual 2012-13</t>
  </si>
  <si>
    <t>B.E.            2022-23</t>
  </si>
  <si>
    <t>Circle wise 2006-07   up to Dec-06                                                              ( Actual  )</t>
  </si>
  <si>
    <t>Up to SEPT-2022</t>
  </si>
  <si>
    <t>Actual Estimated  2022-23</t>
  </si>
  <si>
    <t xml:space="preserve"> Budget 2023-24</t>
  </si>
  <si>
    <t>Quarterwise 2007-08 ( BE )</t>
  </si>
  <si>
    <t>INCREASED/ DECREASED</t>
  </si>
  <si>
    <t>GROWTH         ( IN % )</t>
  </si>
  <si>
    <t>Circle_</t>
  </si>
  <si>
    <t>CORP</t>
  </si>
  <si>
    <t>SURAT CITY</t>
  </si>
  <si>
    <t>SURAT RURAL</t>
  </si>
  <si>
    <t>VALSAD</t>
  </si>
  <si>
    <t>BHARUCH</t>
  </si>
  <si>
    <t>April-June 2007</t>
  </si>
  <si>
    <t>July-Sep. 2007</t>
  </si>
  <si>
    <t>Oct-Dec. 2007</t>
  </si>
  <si>
    <t>Jan to Mar-2008</t>
  </si>
  <si>
    <t xml:space="preserve">    </t>
  </si>
  <si>
    <t>Revenue from Sale of Power</t>
  </si>
  <si>
    <t>Other Misc Revanue From Consumers</t>
  </si>
  <si>
    <t>Revenue Subsidies and Grants</t>
  </si>
  <si>
    <t xml:space="preserve">TOTAL INCOME </t>
  </si>
  <si>
    <t>Purchase of Power (Net of Sale &amp; UI )</t>
  </si>
  <si>
    <t>Repairs and Maintenance</t>
  </si>
  <si>
    <t xml:space="preserve">Employee Costs </t>
  </si>
  <si>
    <t>Administration and General Expenses</t>
  </si>
  <si>
    <t>Interest and Finance Charges</t>
  </si>
  <si>
    <t xml:space="preserve">Sub-Total </t>
  </si>
  <si>
    <r>
      <t xml:space="preserve">Less: </t>
    </r>
    <r>
      <rPr>
        <sz val="14"/>
        <rFont val="+"/>
      </rPr>
      <t>Expenses capitalised :</t>
    </r>
  </si>
  <si>
    <t>Other Expenses Capitalised</t>
  </si>
  <si>
    <t>Extra-ordinary items</t>
  </si>
  <si>
    <t>Exceptional Item</t>
  </si>
  <si>
    <t xml:space="preserve">PROFIT /(LOSS) BEFORE TAX </t>
  </si>
  <si>
    <t>Tax Expenses / (Income)</t>
  </si>
  <si>
    <t xml:space="preserve">PROFIT /(LOSS) AFTER TAX  </t>
  </si>
  <si>
    <t>Net Prior Period  Credit / (Charges) &amp; OCI</t>
  </si>
  <si>
    <t>Total Comprehensive income</t>
  </si>
  <si>
    <t>Cash Profit</t>
  </si>
  <si>
    <t>Net Power purchase(Penal Input)      (Mus)</t>
  </si>
  <si>
    <t>Units Sold               (Mus)</t>
  </si>
  <si>
    <t>Units Loss              (Mus)</t>
  </si>
  <si>
    <t xml:space="preserve">Dist  Losses    (%)    </t>
  </si>
  <si>
    <t>Average Realisation on sale of power  (Rs. / Unit)</t>
  </si>
  <si>
    <t>Average Realisation on Total Income  (Rs. / Unit)</t>
  </si>
  <si>
    <t>Cost to Serve     (Rs. / Unit)</t>
  </si>
  <si>
    <t>FOR 9 Month</t>
  </si>
  <si>
    <t>Q-3</t>
  </si>
  <si>
    <t>Data provided by C&amp;R upto 04.09.2022</t>
  </si>
  <si>
    <t xml:space="preserve">Estimated as per previous year </t>
  </si>
  <si>
    <t>AMNIS</t>
  </si>
  <si>
    <t>ASC &amp; CSS</t>
  </si>
  <si>
    <t>In TB</t>
  </si>
  <si>
    <t>Adj. of POC</t>
  </si>
  <si>
    <t>Rs.315.23 crores Negative adjustment of CSS &amp; Addl SC bills issued to AMNSL plus positive adj of POC and other charges Rs.33.47 cr included in Revenue from sale of power</t>
  </si>
  <si>
    <t>Tariff compansation  Rs.67.98 crore + FPPPA Rs.145.24 crore + adjustment of  unbilled revenue  Rs.1866.08 crore + negative adj. of Rs.33.47 crores POC &amp; Other charges transferred to Other operating income</t>
  </si>
  <si>
    <t>Adj. of deferred govt. grant and consumer contribution</t>
  </si>
  <si>
    <t>As per RE 2022-23</t>
  </si>
  <si>
    <t>11.07.2022 to 17.07.2022</t>
  </si>
  <si>
    <t>18.07.2022 to 24.07.2022</t>
  </si>
  <si>
    <t>25.07.2022 to 31.07.2022</t>
  </si>
  <si>
    <t>01.08.2022 to 07.08.2022</t>
  </si>
  <si>
    <t>08.08.2022 to 14.08.2022</t>
  </si>
  <si>
    <t>15.08.2022 to 21.08.2022</t>
  </si>
  <si>
    <t>22.08.2022 to 28.08.2022</t>
  </si>
  <si>
    <t>29.08.2022 to 04.09.2022</t>
  </si>
  <si>
    <t>Quarter ended 30.06.2022</t>
  </si>
  <si>
    <t>Upto Quarter ended 31.12.2021</t>
  </si>
  <si>
    <t>Upto Quarter ended 31.12.2022</t>
  </si>
  <si>
    <t>PROFIT AND LOSS ACCOUNT FOR THE QUARTER ENDED DECEMBER,2022</t>
  </si>
  <si>
    <t xml:space="preserve">Sr. No. </t>
  </si>
  <si>
    <t>Unit</t>
  </si>
  <si>
    <t xml:space="preserve"> FY 2022-23 (Q3) </t>
  </si>
  <si>
    <t xml:space="preserve"> FY 2022-23 (Up to Q3) </t>
  </si>
  <si>
    <t xml:space="preserve"> FY 2021-22 (Q3) </t>
  </si>
  <si>
    <t xml:space="preserve"> 2021-22 (Up to Q3) </t>
  </si>
  <si>
    <t>A</t>
  </si>
  <si>
    <t>MU</t>
  </si>
  <si>
    <t>B</t>
  </si>
  <si>
    <t>C</t>
  </si>
  <si>
    <t>Energy Purchased (Gross)</t>
  </si>
  <si>
    <t>D</t>
  </si>
  <si>
    <t>Energy Traded / Inter State Sales</t>
  </si>
  <si>
    <t>E</t>
  </si>
  <si>
    <t>F</t>
  </si>
  <si>
    <t>Transmission Losses including pooled losses</t>
  </si>
  <si>
    <t>G</t>
  </si>
  <si>
    <t>H</t>
  </si>
  <si>
    <t>Gross Energy Sold</t>
  </si>
  <si>
    <t>I</t>
  </si>
  <si>
    <t>Net Energy Sold</t>
  </si>
  <si>
    <t>J</t>
  </si>
  <si>
    <t>Gross Revenue from Sale of Energy</t>
  </si>
  <si>
    <t>Rs. Crore</t>
  </si>
  <si>
    <t>K</t>
  </si>
  <si>
    <t xml:space="preserve">Revenue from trading of energy / inter-state sale of energy </t>
  </si>
  <si>
    <t>L</t>
  </si>
  <si>
    <t xml:space="preserve">Revenue subsidies Booked </t>
  </si>
  <si>
    <t>M</t>
  </si>
  <si>
    <t>Subsidy received against subsidy booked</t>
  </si>
  <si>
    <t>N</t>
  </si>
  <si>
    <t>Revenue from Sale of Energy</t>
  </si>
  <si>
    <t>O</t>
  </si>
  <si>
    <t>Adjusted Revenue from Sale of Energy on Subsidy Received basis</t>
  </si>
  <si>
    <t>P</t>
  </si>
  <si>
    <t>Opening Debtors for Sale of Energy</t>
  </si>
  <si>
    <t>Q</t>
  </si>
  <si>
    <t>Closing Debtors for Sale of Energy</t>
  </si>
  <si>
    <t>R</t>
  </si>
  <si>
    <t>Amount written off from Closing Debtors</t>
  </si>
  <si>
    <t>S</t>
  </si>
  <si>
    <t>Adjusted Revenue from Sale of Energy on Subsidy Collection basis</t>
  </si>
  <si>
    <t>T</t>
  </si>
  <si>
    <t>Collection Efficiency</t>
  </si>
  <si>
    <t>%</t>
  </si>
  <si>
    <t>U</t>
  </si>
  <si>
    <t>Units Realized</t>
  </si>
  <si>
    <t>V</t>
  </si>
  <si>
    <t>Units Unrealized</t>
  </si>
  <si>
    <t>AT&amp;C Loss</t>
  </si>
  <si>
    <t>Source : SLDC Webside , Average To Be taken</t>
  </si>
  <si>
    <t>*Every Qtr 80 MUS, Pooled Loss &amp; Transmission Loss From Avg From SLDC Webside</t>
  </si>
  <si>
    <t>LAST Q3</t>
  </si>
  <si>
    <t>Billing Efficiency (%)</t>
  </si>
  <si>
    <t>Quarter ended 30.09.2021</t>
  </si>
  <si>
    <t>Quarter ended 31.12.2021</t>
  </si>
  <si>
    <t>Input Energy (A-B)</t>
  </si>
  <si>
    <t>Net Input Energy (C-D)</t>
  </si>
  <si>
    <t>I  -  KEY PARAMETERS</t>
  </si>
  <si>
    <t>POWER SUPPLY POSITION - 1</t>
  </si>
  <si>
    <t>Page : 1</t>
  </si>
  <si>
    <t>% change</t>
  </si>
  <si>
    <t>Sr No</t>
  </si>
  <si>
    <t>Power Purchase</t>
  </si>
  <si>
    <t>Purchase from IPPs/CPPs/Solar</t>
  </si>
  <si>
    <t>Purchase from GUVNL (net)</t>
  </si>
  <si>
    <t>MUs</t>
  </si>
  <si>
    <t>Purchase from Central sector  (a) Share</t>
  </si>
  <si>
    <t>(b) Actual purchase</t>
  </si>
  <si>
    <t>Total purchase of power (net)</t>
  </si>
  <si>
    <t>II</t>
  </si>
  <si>
    <t>Energy Balance sheet:</t>
  </si>
  <si>
    <t>Total generation + purchase of power</t>
  </si>
  <si>
    <t>Units sent out</t>
  </si>
  <si>
    <t>Metered + Estimated unmetered sales</t>
  </si>
  <si>
    <t>T &amp; D loss(2-3)*</t>
  </si>
  <si>
    <t>T &amp; D loss (4)/(2)*100</t>
  </si>
  <si>
    <t>III</t>
  </si>
  <si>
    <t>Sales,billing &amp; realisation:</t>
  </si>
  <si>
    <t>Billed - metered + unmetered</t>
  </si>
  <si>
    <r>
      <rPr>
        <sz val="12"/>
        <rFont val="Rupee Foradian"/>
        <family val="2"/>
      </rPr>
      <t xml:space="preserve">` </t>
    </r>
    <r>
      <rPr>
        <sz val="12"/>
        <rFont val="Tahoma"/>
        <family val="2"/>
      </rPr>
      <t>crores</t>
    </r>
  </si>
  <si>
    <t>Billed - theft assessment</t>
  </si>
  <si>
    <t>Total Billed (1+2)</t>
  </si>
  <si>
    <r>
      <rPr>
        <b/>
        <sz val="12"/>
        <rFont val="Rupee Foradian"/>
        <family val="2"/>
      </rPr>
      <t xml:space="preserve">` </t>
    </r>
    <r>
      <rPr>
        <b/>
        <sz val="12"/>
        <rFont val="Tahoma"/>
        <family val="2"/>
      </rPr>
      <t>crores</t>
    </r>
  </si>
  <si>
    <t>Amount realised - billed metered +unmetered</t>
  </si>
  <si>
    <t>Amount realised against theft of energy</t>
  </si>
  <si>
    <t>Total Amount realised (4+5) *</t>
  </si>
  <si>
    <t>Amount realised as % of amount billed (6)/(3)</t>
  </si>
  <si>
    <t>COST OF SUPPLY - 2</t>
  </si>
  <si>
    <t>Page : 2</t>
  </si>
  <si>
    <t>Cost of supply</t>
  </si>
  <si>
    <t>Average cost of purchase of power</t>
  </si>
  <si>
    <t>` per unit</t>
  </si>
  <si>
    <t>Cost at bus bar</t>
  </si>
  <si>
    <t>Cost of supply at EHT (at 66 KV)</t>
  </si>
  <si>
    <t>Cost of supply at HT (at 11 KV)</t>
  </si>
  <si>
    <t>Cost of supply at LT (at 400 / 230 V)</t>
  </si>
  <si>
    <t>Average Cost of supply</t>
  </si>
  <si>
    <t>Sales realisation</t>
  </si>
  <si>
    <t>HT</t>
  </si>
  <si>
    <t xml:space="preserve">LT </t>
  </si>
  <si>
    <t>Average Sales realisation</t>
  </si>
  <si>
    <t>FINANCIAL DATA - 3</t>
  </si>
  <si>
    <t>Page : 3</t>
  </si>
  <si>
    <t>Budget</t>
  </si>
  <si>
    <t>1st Qtr</t>
  </si>
  <si>
    <t xml:space="preserve">Cost of Power purchase </t>
  </si>
  <si>
    <t>Employees Cost</t>
  </si>
  <si>
    <t xml:space="preserve">Interest </t>
  </si>
  <si>
    <t>Depreciation</t>
  </si>
  <si>
    <t>Admin and General expenses</t>
  </si>
  <si>
    <t>6.a</t>
  </si>
  <si>
    <t>Bad debts</t>
  </si>
  <si>
    <t>Exp. Capitalised less other debits</t>
  </si>
  <si>
    <t>Total cost excluding Profit/Return</t>
  </si>
  <si>
    <t>Capital expenditure</t>
  </si>
  <si>
    <t xml:space="preserve">New long term borrowings </t>
  </si>
  <si>
    <t>Non Tariff Income</t>
  </si>
  <si>
    <t>Bank overdraft as at the end of the quarter</t>
  </si>
  <si>
    <t>NA</t>
  </si>
  <si>
    <t>Sales amount</t>
  </si>
  <si>
    <t>Agricultural Subsidy received/receivable</t>
  </si>
  <si>
    <t>Other consumer related income</t>
  </si>
  <si>
    <t>Total (11 to 15)</t>
  </si>
  <si>
    <t>Cost of power purchase as % of total cost (1) / (8)</t>
  </si>
  <si>
    <t xml:space="preserve">* Previous Quarter amount restated/regrouped </t>
  </si>
  <si>
    <t>III  -  SALES AND REVENUE DATA</t>
  </si>
  <si>
    <t>NO.OF CONSUMERS AND UNITS SOLD</t>
  </si>
  <si>
    <t>Page : 4</t>
  </si>
  <si>
    <t xml:space="preserve">                                                                                            </t>
  </si>
  <si>
    <t>(A)</t>
  </si>
  <si>
    <t>No. of consumers</t>
  </si>
  <si>
    <t>EHT</t>
  </si>
  <si>
    <t>Licensees</t>
  </si>
  <si>
    <t>Total HT + EHT</t>
  </si>
  <si>
    <t>RGP</t>
  </si>
  <si>
    <t>LTMD &amp; NRGP</t>
  </si>
  <si>
    <t>Other (W.W)</t>
  </si>
  <si>
    <t>Total LT excluding agriculture</t>
  </si>
  <si>
    <t>Agriculture</t>
  </si>
  <si>
    <t>Total LT including agriculture</t>
  </si>
  <si>
    <t>Total HT + EHT + LT</t>
  </si>
  <si>
    <t>(B)</t>
  </si>
  <si>
    <t>No. of units sold</t>
  </si>
  <si>
    <t>M.KWH</t>
  </si>
  <si>
    <t>Agriculture ( Un meter + Meter )</t>
  </si>
  <si>
    <t>SALES REVENUE AMOUNT &amp; PAISE/UNIT</t>
  </si>
  <si>
    <t>Page : 5</t>
  </si>
  <si>
    <t>(C)</t>
  </si>
  <si>
    <t>Sales revenue</t>
  </si>
  <si>
    <t>Rs.crores</t>
  </si>
  <si>
    <t>Other (P.ltg+W.W)</t>
  </si>
  <si>
    <t>(D)</t>
  </si>
  <si>
    <t>Paise / kwh</t>
  </si>
  <si>
    <t>SALES REVENUE FIXED AND ENERGY CHARGE PAISE/UNIT AND UNITS SOLD PER CONSUMER</t>
  </si>
  <si>
    <t>Page : 6</t>
  </si>
  <si>
    <t>(E)</t>
  </si>
  <si>
    <t>Sales realisation - fixed charge ( Demand charge )</t>
  </si>
  <si>
    <t>(F)</t>
  </si>
  <si>
    <t>Sales realisation - energy charge</t>
  </si>
  <si>
    <t>(G)</t>
  </si>
  <si>
    <t>Units sold per consumer</t>
  </si>
  <si>
    <t>kwh</t>
  </si>
  <si>
    <t>IV  -  FINANCIAL DATA</t>
  </si>
  <si>
    <t>Page : 7</t>
  </si>
  <si>
    <t>(Rs. in Crores)</t>
  </si>
  <si>
    <t xml:space="preserve">% change </t>
  </si>
  <si>
    <t>Ac/s.Head</t>
  </si>
  <si>
    <t>Revenue</t>
  </si>
  <si>
    <t>Government Subsidy /other consumer income</t>
  </si>
  <si>
    <t>62+63</t>
  </si>
  <si>
    <t>Total Revenue</t>
  </si>
  <si>
    <t>EXPENSES :</t>
  </si>
  <si>
    <t>Operating Expenses</t>
  </si>
  <si>
    <t xml:space="preserve">   -Fixed </t>
  </si>
  <si>
    <t xml:space="preserve">   -Variable +</t>
  </si>
  <si>
    <t>Fuel Expense</t>
  </si>
  <si>
    <t>-</t>
  </si>
  <si>
    <t>Employee Cost</t>
  </si>
  <si>
    <t>Administrative and General Expense</t>
  </si>
  <si>
    <t>Other Operating Costs</t>
  </si>
  <si>
    <t>Other Expenses(Expenditure Capitalised - Other debits - Net prior period Exp - Extra ordinary exp)</t>
  </si>
  <si>
    <t>15+79+74110+(83-65)</t>
  </si>
  <si>
    <t>Taxes, if any</t>
  </si>
  <si>
    <t>OCI</t>
  </si>
  <si>
    <t>Total expenses</t>
  </si>
  <si>
    <t>Surplus (deficit) excluding rate of return</t>
  </si>
  <si>
    <t>Calculation of return</t>
  </si>
  <si>
    <t>=========================================================================================================================================</t>
  </si>
  <si>
    <t>SR</t>
  </si>
  <si>
    <t>CATEGORY</t>
  </si>
  <si>
    <t>BOARD CHARGE</t>
  </si>
  <si>
    <t>B. CHG(THEFT)</t>
  </si>
  <si>
    <t>MIN CHG DIS.</t>
  </si>
  <si>
    <t>ELE. DUTY</t>
  </si>
  <si>
    <t>TAX ON SALE</t>
  </si>
  <si>
    <t>RENT</t>
  </si>
  <si>
    <t>SUNDRY CHG.</t>
  </si>
  <si>
    <t>D. P. C.</t>
  </si>
  <si>
    <t>ASSESSMENT</t>
  </si>
  <si>
    <t>Net B Charge</t>
  </si>
  <si>
    <t>Unit Billed</t>
  </si>
  <si>
    <t>Street Light</t>
  </si>
  <si>
    <t>Temporary</t>
  </si>
  <si>
    <t>LED</t>
  </si>
  <si>
    <t>Solar</t>
  </si>
  <si>
    <t>PDC</t>
  </si>
  <si>
    <t>UNCONNECTED</t>
  </si>
  <si>
    <t>NON-CONS</t>
  </si>
  <si>
    <t>TOT(NORMAL)</t>
  </si>
  <si>
    <t>TOT(PCD+UC)</t>
  </si>
  <si>
    <t>TOT(TEMP+NON)</t>
  </si>
  <si>
    <t>GRAND TOTAL</t>
  </si>
  <si>
    <t>CONSUMERS</t>
  </si>
  <si>
    <t>UNITS BILLED</t>
  </si>
  <si>
    <t>FIXED-CHRG</t>
  </si>
  <si>
    <t>ENEG-CHRG</t>
  </si>
  <si>
    <t>FUEL-COST</t>
  </si>
  <si>
    <t>ANNUAL-CHG</t>
  </si>
  <si>
    <t>DEBIT-ADJ</t>
  </si>
  <si>
    <t>BOARD-CHG</t>
  </si>
  <si>
    <t>TOT(PDC+UN)</t>
  </si>
  <si>
    <t>OPEN. BAL</t>
  </si>
  <si>
    <t>COLLECTIONS</t>
  </si>
  <si>
    <t>CREDIT- ADJ</t>
  </si>
  <si>
    <t>TANS-FROM</t>
  </si>
  <si>
    <t>TANS-TO</t>
  </si>
  <si>
    <t>CL. BALANCE</t>
  </si>
  <si>
    <t>UNPOSTED</t>
  </si>
  <si>
    <t>TOT(NOR+UNPOST)</t>
  </si>
  <si>
    <t>CREDIT ADJ.</t>
  </si>
  <si>
    <t>PAY-FROM</t>
  </si>
  <si>
    <t>PROVISIONAL</t>
  </si>
  <si>
    <t>&lt;-----</t>
  </si>
  <si>
    <t>RELIEF</t>
  </si>
  <si>
    <t>-----&gt;</t>
  </si>
  <si>
    <t>SOLAR</t>
  </si>
  <si>
    <t>TDS</t>
  </si>
  <si>
    <t>RCPT-CLEARED</t>
  </si>
  <si>
    <t>( BC )</t>
  </si>
  <si>
    <t>ADJ.</t>
  </si>
  <si>
    <t>OTHER-OFFICE</t>
  </si>
  <si>
    <t>BILLING</t>
  </si>
  <si>
    <t>ELE-DUTY</t>
  </si>
  <si>
    <t>ANGAN/AMNST</t>
  </si>
  <si>
    <t>CREDIT</t>
  </si>
  <si>
    <t>ADJ</t>
  </si>
  <si>
    <t>---------------------------------------------------------------------------------------------------------------------------------------------------------</t>
  </si>
  <si>
    <t>Units Billed</t>
  </si>
  <si>
    <t>Assessment</t>
  </si>
  <si>
    <t>HT INDUSTRY</t>
  </si>
  <si>
    <t>TRACTION RL</t>
  </si>
  <si>
    <t>AGRICULTURE</t>
  </si>
  <si>
    <t>LICENSEES</t>
  </si>
  <si>
    <t>OTHERS</t>
  </si>
  <si>
    <t>INTER-STATE</t>
  </si>
  <si>
    <t>DADRA NAGAR</t>
  </si>
  <si>
    <t>WATER WORKS</t>
  </si>
  <si>
    <t>Grand Total</t>
  </si>
  <si>
    <t>SR.</t>
  </si>
  <si>
    <t>No of Consumers</t>
  </si>
  <si>
    <t>Mn.charges.Ds</t>
  </si>
  <si>
    <t>Ele.duty</t>
  </si>
  <si>
    <t>TOS</t>
  </si>
  <si>
    <t>Meter Rent</t>
  </si>
  <si>
    <t>D.P.C.</t>
  </si>
  <si>
    <t>Sundry Charges.</t>
  </si>
  <si>
    <t>Board - Charges</t>
  </si>
  <si>
    <t>Units Adj.</t>
  </si>
  <si>
    <t>Brd Charges(Theft)</t>
  </si>
  <si>
    <t>Ele.Duty Adj.</t>
  </si>
  <si>
    <t>TOS Adj.</t>
  </si>
  <si>
    <t>Met.Rent Adj</t>
  </si>
  <si>
    <t>DPC Adj.</t>
  </si>
  <si>
    <t>Sundry Adj.charges.</t>
  </si>
  <si>
    <t>Net Assessment</t>
  </si>
  <si>
    <t>BREAK-UP OF BOARD CHARGES</t>
  </si>
  <si>
    <t>Q1</t>
  </si>
  <si>
    <t>Q2</t>
  </si>
  <si>
    <t>Q3</t>
  </si>
  <si>
    <t>Q4</t>
  </si>
  <si>
    <t>Claims</t>
  </si>
  <si>
    <t>BN</t>
  </si>
  <si>
    <t>Previous  Year 22-23*</t>
  </si>
  <si>
    <t>COMPUTED</t>
  </si>
  <si>
    <t>4th Quarter Jan'24 to Mar'24</t>
  </si>
  <si>
    <t xml:space="preserve">Cumulative Up to 4th quarter </t>
  </si>
  <si>
    <t>4th Quarter Jan'23 to Mar'23</t>
  </si>
  <si>
    <t>4th  Quarter</t>
  </si>
  <si>
    <t>Cumulative up to 4th  Qtr</t>
  </si>
  <si>
    <r>
      <t>HT ASSESSMENT REPORT FROM </t>
    </r>
    <r>
      <rPr>
        <sz val="10"/>
        <rFont val="Courier New"/>
        <family val="3"/>
      </rPr>
      <t>MAY-2023</t>
    </r>
    <r>
      <rPr>
        <b/>
        <sz val="10"/>
        <rFont val="Courier New"/>
        <family val="3"/>
      </rPr>
      <t> TO </t>
    </r>
    <r>
      <rPr>
        <sz val="10"/>
        <rFont val="Courier New"/>
        <family val="3"/>
      </rPr>
      <t>APR-2024</t>
    </r>
  </si>
  <si>
    <r>
      <t>LAST MONTH END DATE : </t>
    </r>
    <r>
      <rPr>
        <sz val="10"/>
        <rFont val="Courier New"/>
        <family val="3"/>
      </rPr>
      <t>30-04-2024</t>
    </r>
  </si>
  <si>
    <r>
      <t>PERIOD: </t>
    </r>
    <r>
      <rPr>
        <sz val="10"/>
        <rFont val="Courier New"/>
        <family val="3"/>
      </rPr>
      <t>APR-2024</t>
    </r>
  </si>
  <si>
    <r>
      <t>PROCESSED ON: </t>
    </r>
    <r>
      <rPr>
        <sz val="10"/>
        <rFont val="Courier New"/>
        <family val="3"/>
      </rPr>
      <t>14-Jun-2024</t>
    </r>
  </si>
  <si>
    <r>
      <t>COM: </t>
    </r>
    <r>
      <rPr>
        <sz val="10"/>
        <rFont val="Courier New"/>
        <family val="3"/>
      </rPr>
      <t>1 DGVCL</t>
    </r>
  </si>
  <si>
    <r>
      <t>CIR: </t>
    </r>
    <r>
      <rPr>
        <sz val="10"/>
        <rFont val="Courier New"/>
        <family val="3"/>
      </rPr>
      <t>All</t>
    </r>
  </si>
  <si>
    <r>
      <t>DIV: </t>
    </r>
    <r>
      <rPr>
        <sz val="10"/>
        <rFont val="Courier New"/>
        <family val="3"/>
      </rPr>
      <t>All</t>
    </r>
  </si>
  <si>
    <t>--------------------------------------------------------------------------------------------------------------------------------------------------------------------------</t>
  </si>
  <si>
    <t>Demand</t>
  </si>
  <si>
    <t>Charges</t>
  </si>
  <si>
    <t>Energy</t>
  </si>
  <si>
    <t>Charges.</t>
  </si>
  <si>
    <t>Time</t>
  </si>
  <si>
    <t>Fuel</t>
  </si>
  <si>
    <t>Surcharge</t>
  </si>
  <si>
    <t>Annual./</t>
  </si>
  <si>
    <t>SFM Charges.</t>
  </si>
  <si>
    <t>PF</t>
  </si>
  <si>
    <t>Adj</t>
  </si>
  <si>
    <t>Rebate</t>
  </si>
  <si>
    <t>Ehv</t>
  </si>
  <si>
    <t>NIGHT</t>
  </si>
  <si>
    <t>Charge</t>
  </si>
  <si>
    <t>GT</t>
  </si>
  <si>
    <r>
      <t>LT ASSESSMENT REPORT FROM : </t>
    </r>
    <r>
      <rPr>
        <sz val="8"/>
        <rFont val="COURIER"/>
      </rPr>
      <t>May</t>
    </r>
    <r>
      <rPr>
        <b/>
        <sz val="8"/>
        <rFont val="COURIER"/>
      </rPr>
      <t>-</t>
    </r>
    <r>
      <rPr>
        <sz val="8"/>
        <rFont val="COURIER"/>
      </rPr>
      <t>2023 </t>
    </r>
    <r>
      <rPr>
        <b/>
        <sz val="8"/>
        <rFont val="COURIER"/>
      </rPr>
      <t>TO </t>
    </r>
    <r>
      <rPr>
        <sz val="8"/>
        <rFont val="COURIER"/>
      </rPr>
      <t>Apr</t>
    </r>
    <r>
      <rPr>
        <b/>
        <sz val="8"/>
        <rFont val="COURIER"/>
      </rPr>
      <t>-</t>
    </r>
    <r>
      <rPr>
        <sz val="8"/>
        <rFont val="COURIER"/>
      </rPr>
      <t>2024</t>
    </r>
  </si>
  <si>
    <r>
      <t>LAST MONTH END DATE : </t>
    </r>
    <r>
      <rPr>
        <sz val="8"/>
        <rFont val="COURIER"/>
      </rPr>
      <t>30-04-2024</t>
    </r>
  </si>
  <si>
    <r>
      <t>PERIOD: </t>
    </r>
    <r>
      <rPr>
        <sz val="8"/>
        <rFont val="COURIER"/>
      </rPr>
      <t>May</t>
    </r>
    <r>
      <rPr>
        <b/>
        <sz val="8"/>
        <rFont val="COURIER"/>
      </rPr>
      <t>-</t>
    </r>
    <r>
      <rPr>
        <sz val="8"/>
        <rFont val="COURIER"/>
      </rPr>
      <t>2023 </t>
    </r>
    <r>
      <rPr>
        <b/>
        <sz val="8"/>
        <rFont val="COURIER"/>
      </rPr>
      <t>TO </t>
    </r>
    <r>
      <rPr>
        <sz val="8"/>
        <rFont val="COURIER"/>
      </rPr>
      <t>Apr</t>
    </r>
    <r>
      <rPr>
        <b/>
        <sz val="8"/>
        <rFont val="COURIER"/>
      </rPr>
      <t>-</t>
    </r>
    <r>
      <rPr>
        <sz val="8"/>
        <rFont val="COURIER"/>
      </rPr>
      <t>2024</t>
    </r>
  </si>
  <si>
    <r>
      <t>PROCESSED ON: </t>
    </r>
    <r>
      <rPr>
        <sz val="8"/>
        <rFont val="COURIER"/>
      </rPr>
      <t>14-Jun-2024</t>
    </r>
  </si>
  <si>
    <r>
      <t>COM: </t>
    </r>
    <r>
      <rPr>
        <sz val="8"/>
        <rFont val="COURIER"/>
      </rPr>
      <t>1 DGVCL</t>
    </r>
  </si>
  <si>
    <r>
      <t>CIR: </t>
    </r>
    <r>
      <rPr>
        <sz val="8"/>
        <rFont val="COURIER"/>
      </rPr>
      <t>All</t>
    </r>
  </si>
  <si>
    <r>
      <t>DIV: </t>
    </r>
    <r>
      <rPr>
        <sz val="8"/>
        <rFont val="COURIER"/>
      </rPr>
      <t>All</t>
    </r>
  </si>
  <si>
    <r>
      <t>SUB: </t>
    </r>
    <r>
      <rPr>
        <sz val="8"/>
        <rFont val="COURIER"/>
      </rPr>
      <t>All</t>
    </r>
  </si>
  <si>
    <r>
      <t>BREAK-UP OF BOARD CHARGES FROM </t>
    </r>
    <r>
      <rPr>
        <sz val="8"/>
        <rFont val="COURIER"/>
      </rPr>
      <t>May</t>
    </r>
    <r>
      <rPr>
        <b/>
        <sz val="8"/>
        <rFont val="COURIER"/>
      </rPr>
      <t>-</t>
    </r>
    <r>
      <rPr>
        <sz val="8"/>
        <rFont val="COURIER"/>
      </rPr>
      <t>2023 </t>
    </r>
    <r>
      <rPr>
        <b/>
        <sz val="8"/>
        <rFont val="COURIER"/>
      </rPr>
      <t>TO </t>
    </r>
    <r>
      <rPr>
        <sz val="8"/>
        <rFont val="COURIER"/>
      </rPr>
      <t>Apr</t>
    </r>
    <r>
      <rPr>
        <b/>
        <sz val="8"/>
        <rFont val="COURIER"/>
      </rPr>
      <t>-</t>
    </r>
    <r>
      <rPr>
        <sz val="8"/>
        <rFont val="COURIER"/>
      </rPr>
      <t>2024</t>
    </r>
  </si>
  <si>
    <t>PRO-BILL</t>
  </si>
  <si>
    <r>
      <t>LT C. G. L. FROM </t>
    </r>
    <r>
      <rPr>
        <sz val="10"/>
        <rFont val="COURIER"/>
      </rPr>
      <t>May</t>
    </r>
    <r>
      <rPr>
        <b/>
        <sz val="10"/>
        <rFont val="COURIER"/>
      </rPr>
      <t>-</t>
    </r>
    <r>
      <rPr>
        <sz val="10"/>
        <rFont val="COURIER"/>
      </rPr>
      <t>2023 </t>
    </r>
    <r>
      <rPr>
        <b/>
        <sz val="10"/>
        <rFont val="COURIER"/>
      </rPr>
      <t>TO </t>
    </r>
    <r>
      <rPr>
        <sz val="10"/>
        <rFont val="COURIER"/>
      </rPr>
      <t>Apr</t>
    </r>
    <r>
      <rPr>
        <b/>
        <sz val="10"/>
        <rFont val="COURIER"/>
      </rPr>
      <t>-</t>
    </r>
    <r>
      <rPr>
        <sz val="10"/>
        <rFont val="COURIER"/>
      </rPr>
      <t>2024</t>
    </r>
  </si>
  <si>
    <r>
      <t>CREDIT ADJUSTMENT ( LT ) FOR : </t>
    </r>
    <r>
      <rPr>
        <sz val="10"/>
        <rFont val="COURIER"/>
      </rPr>
      <t>May</t>
    </r>
    <r>
      <rPr>
        <b/>
        <sz val="10"/>
        <rFont val="COURIER"/>
      </rPr>
      <t>-</t>
    </r>
    <r>
      <rPr>
        <sz val="10"/>
        <rFont val="COURIER"/>
      </rPr>
      <t>2023 </t>
    </r>
    <r>
      <rPr>
        <b/>
        <sz val="10"/>
        <rFont val="COURIER"/>
      </rPr>
      <t>TO </t>
    </r>
    <r>
      <rPr>
        <sz val="10"/>
        <rFont val="COURIER"/>
      </rPr>
      <t>Apr</t>
    </r>
    <r>
      <rPr>
        <b/>
        <sz val="10"/>
        <rFont val="COURIER"/>
      </rPr>
      <t>-</t>
    </r>
    <r>
      <rPr>
        <sz val="10"/>
        <rFont val="COURIER"/>
      </rPr>
      <t>2024</t>
    </r>
  </si>
  <si>
    <t>NON-CASH</t>
  </si>
  <si>
    <r>
      <t>LT ASSESSMENT REPORT FROM : </t>
    </r>
    <r>
      <rPr>
        <sz val="8"/>
        <rFont val="COURIER"/>
      </rPr>
      <t>Feb</t>
    </r>
    <r>
      <rPr>
        <b/>
        <sz val="8"/>
        <rFont val="COURIER"/>
      </rPr>
      <t>-</t>
    </r>
    <r>
      <rPr>
        <sz val="8"/>
        <rFont val="COURIER"/>
      </rPr>
      <t>2024 </t>
    </r>
    <r>
      <rPr>
        <b/>
        <sz val="8"/>
        <rFont val="COURIER"/>
      </rPr>
      <t>TO </t>
    </r>
    <r>
      <rPr>
        <sz val="8"/>
        <rFont val="COURIER"/>
      </rPr>
      <t>Apr</t>
    </r>
    <r>
      <rPr>
        <b/>
        <sz val="8"/>
        <rFont val="COURIER"/>
      </rPr>
      <t>-</t>
    </r>
    <r>
      <rPr>
        <sz val="8"/>
        <rFont val="COURIER"/>
      </rPr>
      <t>2024</t>
    </r>
  </si>
  <si>
    <r>
      <t>PERIOD: </t>
    </r>
    <r>
      <rPr>
        <sz val="8"/>
        <rFont val="COURIER"/>
      </rPr>
      <t>Feb</t>
    </r>
    <r>
      <rPr>
        <b/>
        <sz val="8"/>
        <rFont val="COURIER"/>
      </rPr>
      <t>-</t>
    </r>
    <r>
      <rPr>
        <sz val="8"/>
        <rFont val="COURIER"/>
      </rPr>
      <t>2024 </t>
    </r>
    <r>
      <rPr>
        <b/>
        <sz val="8"/>
        <rFont val="COURIER"/>
      </rPr>
      <t>TO </t>
    </r>
    <r>
      <rPr>
        <sz val="8"/>
        <rFont val="COURIER"/>
      </rPr>
      <t>Apr</t>
    </r>
    <r>
      <rPr>
        <b/>
        <sz val="8"/>
        <rFont val="COURIER"/>
      </rPr>
      <t>-</t>
    </r>
    <r>
      <rPr>
        <sz val="8"/>
        <rFont val="COURIER"/>
      </rPr>
      <t>2024</t>
    </r>
  </si>
  <si>
    <r>
      <t>PROCESSED ON: </t>
    </r>
    <r>
      <rPr>
        <sz val="8"/>
        <rFont val="COURIER"/>
      </rPr>
      <t>18-Jun-2024</t>
    </r>
  </si>
  <si>
    <r>
      <t>BREAK-UP OF BOARD CHARGES FROM </t>
    </r>
    <r>
      <rPr>
        <sz val="8"/>
        <rFont val="COURIER"/>
      </rPr>
      <t>Feb</t>
    </r>
    <r>
      <rPr>
        <b/>
        <sz val="8"/>
        <rFont val="COURIER"/>
      </rPr>
      <t>-</t>
    </r>
    <r>
      <rPr>
        <sz val="8"/>
        <rFont val="COURIER"/>
      </rPr>
      <t>2024 </t>
    </r>
    <r>
      <rPr>
        <b/>
        <sz val="8"/>
        <rFont val="COURIER"/>
      </rPr>
      <t>TO </t>
    </r>
    <r>
      <rPr>
        <sz val="8"/>
        <rFont val="COURIER"/>
      </rPr>
      <t>Apr</t>
    </r>
    <r>
      <rPr>
        <b/>
        <sz val="8"/>
        <rFont val="COURIER"/>
      </rPr>
      <t>-</t>
    </r>
    <r>
      <rPr>
        <sz val="8"/>
        <rFont val="COURIER"/>
      </rPr>
      <t>2024</t>
    </r>
  </si>
  <si>
    <r>
      <t>LT C. G. L. FROM </t>
    </r>
    <r>
      <rPr>
        <sz val="10"/>
        <rFont val="COURIER"/>
      </rPr>
      <t>Feb</t>
    </r>
    <r>
      <rPr>
        <b/>
        <sz val="10"/>
        <rFont val="COURIER"/>
      </rPr>
      <t>-</t>
    </r>
    <r>
      <rPr>
        <sz val="10"/>
        <rFont val="COURIER"/>
      </rPr>
      <t>2024 </t>
    </r>
    <r>
      <rPr>
        <b/>
        <sz val="10"/>
        <rFont val="COURIER"/>
      </rPr>
      <t>TO </t>
    </r>
    <r>
      <rPr>
        <sz val="10"/>
        <rFont val="COURIER"/>
      </rPr>
      <t>Apr</t>
    </r>
    <r>
      <rPr>
        <b/>
        <sz val="10"/>
        <rFont val="COURIER"/>
      </rPr>
      <t>-</t>
    </r>
    <r>
      <rPr>
        <sz val="10"/>
        <rFont val="COURIER"/>
      </rPr>
      <t>2024</t>
    </r>
  </si>
  <si>
    <r>
      <t>CREDIT ADJUSTMENT ( LT ) FOR : </t>
    </r>
    <r>
      <rPr>
        <sz val="10"/>
        <rFont val="COURIER"/>
      </rPr>
      <t>Feb</t>
    </r>
    <r>
      <rPr>
        <b/>
        <sz val="10"/>
        <rFont val="COURIER"/>
      </rPr>
      <t>-</t>
    </r>
    <r>
      <rPr>
        <sz val="10"/>
        <rFont val="COURIER"/>
      </rPr>
      <t>2024 </t>
    </r>
    <r>
      <rPr>
        <b/>
        <sz val="10"/>
        <rFont val="COURIER"/>
      </rPr>
      <t>TO </t>
    </r>
    <r>
      <rPr>
        <sz val="10"/>
        <rFont val="COURIER"/>
      </rPr>
      <t>Apr</t>
    </r>
    <r>
      <rPr>
        <b/>
        <sz val="10"/>
        <rFont val="COURIER"/>
      </rPr>
      <t>-</t>
    </r>
    <r>
      <rPr>
        <sz val="10"/>
        <rFont val="COURIER"/>
      </rPr>
      <t>2024</t>
    </r>
  </si>
  <si>
    <r>
      <t>HT ASSESSMENT REPORT FROM </t>
    </r>
    <r>
      <rPr>
        <sz val="10"/>
        <rFont val="Courier New"/>
        <family val="3"/>
      </rPr>
      <t>FEB-2024</t>
    </r>
    <r>
      <rPr>
        <b/>
        <sz val="10"/>
        <rFont val="Courier New"/>
        <family val="3"/>
      </rPr>
      <t> TO </t>
    </r>
    <r>
      <rPr>
        <sz val="10"/>
        <rFont val="Courier New"/>
        <family val="3"/>
      </rPr>
      <t>APR-2024</t>
    </r>
  </si>
  <si>
    <r>
      <t>PROCESSED ON: </t>
    </r>
    <r>
      <rPr>
        <sz val="10"/>
        <rFont val="Courier New"/>
        <family val="3"/>
      </rPr>
      <t>18-Jun-2024</t>
    </r>
  </si>
  <si>
    <t>STATEMENT SHOWING DETAILS OF POWER PURCHASE COST (01.04.2023 to 31.03.2024)</t>
  </si>
  <si>
    <t>PCD</t>
  </si>
  <si>
    <t>70146+92490</t>
  </si>
  <si>
    <t>LTMD/NRGP</t>
  </si>
  <si>
    <t>Public Lighting</t>
  </si>
  <si>
    <t>Traction Railways</t>
  </si>
  <si>
    <t>*Irrigation Agriculture</t>
  </si>
  <si>
    <t>Public Water Works &amp; sewage pumps**</t>
  </si>
  <si>
    <t>Sub Total</t>
  </si>
  <si>
    <t>DSM Charges Revenue</t>
  </si>
  <si>
    <t>Miscellaneous Recoveries from Consumers***</t>
  </si>
  <si>
    <t>Power Purchase Costs</t>
  </si>
  <si>
    <t xml:space="preserve">**The sale of electricity includes Cross subsidy surcharge bills amount of Rs.1681.91 cr issued to AMNSIL from Jan-2020 onwards has been recognize as revenue. </t>
  </si>
  <si>
    <t>***Data of 2023-24 as per  actual Audited accounts.</t>
  </si>
  <si>
    <t>Current Year 23-24 ***</t>
  </si>
  <si>
    <t>*** Data of 2023-24 as per  actual Audited accounts.</t>
  </si>
  <si>
    <t>Sale of Electricity**</t>
  </si>
</sst>
</file>

<file path=xl/styles.xml><?xml version="1.0" encoding="utf-8"?>
<styleSheet xmlns="http://schemas.openxmlformats.org/spreadsheetml/2006/main">
  <numFmts count="17">
    <numFmt numFmtId="43" formatCode="_(* #,##0.00_);_(* \(#,##0.00\);_(* &quot;-&quot;??_);_(@_)"/>
    <numFmt numFmtId="164" formatCode="_ * #,##0.00_ ;_ * \-#,##0.00_ ;_ * &quot;-&quot;??_ ;_ @_ "/>
    <numFmt numFmtId="165" formatCode="[$-409]mmm\-yy;@"/>
    <numFmt numFmtId="166" formatCode="_ * #,##0.0000_ ;_ * \-#,##0.0000_ ;_ * &quot;-&quot;??_ ;_ @_ "/>
    <numFmt numFmtId="167" formatCode="0.0000"/>
    <numFmt numFmtId="168" formatCode="_ * #,##0_ ;_ * \-#,##0_ ;_ * &quot;-&quot;??_ ;_ @_ "/>
    <numFmt numFmtId="169" formatCode="0.000000000000"/>
    <numFmt numFmtId="170" formatCode="0.00_);\(0.00\)"/>
    <numFmt numFmtId="171" formatCode="0.000"/>
    <numFmt numFmtId="172" formatCode="#,##0.00;[Red]#,##0.00"/>
    <numFmt numFmtId="173" formatCode="0_);\(0\)"/>
    <numFmt numFmtId="174" formatCode="0.00000"/>
    <numFmt numFmtId="175" formatCode="0.00000_);\(0.00000\)"/>
    <numFmt numFmtId="176" formatCode="0_)"/>
    <numFmt numFmtId="177" formatCode="0.00_)"/>
    <numFmt numFmtId="178" formatCode="_-* #,##0.00_-;\-* #,##0.00_-;_-* &quot;-&quot;??_-;_-@_-"/>
    <numFmt numFmtId="179" formatCode="0.00000000"/>
  </numFmts>
  <fonts count="1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rgb="FFFF0000"/>
      <name val="Tahoma"/>
      <family val="2"/>
    </font>
    <font>
      <sz val="10"/>
      <color indexed="12"/>
      <name val="Tahoma"/>
      <family val="2"/>
    </font>
    <font>
      <sz val="10"/>
      <color indexed="8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1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rgb="FFFF0000"/>
      <name val="Verdana"/>
      <family val="2"/>
    </font>
    <font>
      <b/>
      <sz val="11"/>
      <name val="Verdana"/>
      <family val="2"/>
    </font>
    <font>
      <b/>
      <sz val="12"/>
      <color indexed="8"/>
      <name val="Tahoma"/>
      <family val="2"/>
    </font>
    <font>
      <b/>
      <sz val="12"/>
      <color theme="5"/>
      <name val="Tahoma"/>
      <family val="2"/>
    </font>
    <font>
      <b/>
      <sz val="11"/>
      <color indexed="8"/>
      <name val="Tahoma"/>
      <family val="2"/>
    </font>
    <font>
      <b/>
      <sz val="11"/>
      <color indexed="60"/>
      <name val="Tahoma"/>
      <family val="2"/>
    </font>
    <font>
      <sz val="12"/>
      <color theme="1"/>
      <name val="Tahoma"/>
      <family val="2"/>
    </font>
    <font>
      <sz val="12"/>
      <color rgb="FF160AB6"/>
      <name val="Tahoma"/>
      <family val="2"/>
    </font>
    <font>
      <sz val="12"/>
      <color indexed="8"/>
      <name val="Tahoma"/>
      <family val="2"/>
    </font>
    <font>
      <b/>
      <sz val="12"/>
      <color theme="1"/>
      <name val="Tahoma"/>
      <family val="2"/>
    </font>
    <font>
      <b/>
      <sz val="12"/>
      <color indexed="10"/>
      <name val="Tahoma"/>
      <family val="2"/>
    </font>
    <font>
      <b/>
      <sz val="10"/>
      <color indexed="8"/>
      <name val="Tahoma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Tahoma"/>
      <family val="2"/>
    </font>
    <font>
      <b/>
      <u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u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Trebuchet MS"/>
      <family val="2"/>
    </font>
    <font>
      <sz val="12"/>
      <color rgb="FF000000"/>
      <name val="Trebuchet MS"/>
      <family val="2"/>
    </font>
    <font>
      <sz val="12"/>
      <color rgb="FFFF0000"/>
      <name val="Tahoma"/>
      <family val="2"/>
    </font>
    <font>
      <sz val="12"/>
      <color rgb="FFFF0000"/>
      <name val="Arial"/>
      <family val="2"/>
    </font>
    <font>
      <b/>
      <sz val="16"/>
      <name val="+"/>
    </font>
    <font>
      <sz val="10"/>
      <name val="+"/>
    </font>
    <font>
      <b/>
      <sz val="14"/>
      <name val="+"/>
    </font>
    <font>
      <b/>
      <sz val="10"/>
      <name val="+"/>
    </font>
    <font>
      <b/>
      <sz val="8"/>
      <name val="+"/>
    </font>
    <font>
      <sz val="14"/>
      <name val="+"/>
    </font>
    <font>
      <b/>
      <u/>
      <sz val="11"/>
      <name val="+"/>
    </font>
    <font>
      <sz val="15"/>
      <name val="+"/>
    </font>
    <font>
      <sz val="14"/>
      <color theme="1"/>
      <name val="+"/>
    </font>
    <font>
      <sz val="14"/>
      <color rgb="FFFF0000"/>
      <name val="+"/>
    </font>
    <font>
      <sz val="11"/>
      <color rgb="FF000000"/>
      <name val="Tahoma"/>
      <family val="2"/>
    </font>
    <font>
      <b/>
      <sz val="18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u/>
      <sz val="14"/>
      <name val="Tahoma"/>
      <family val="2"/>
    </font>
    <font>
      <sz val="14"/>
      <name val="Tahoma"/>
      <family val="2"/>
    </font>
    <font>
      <sz val="12"/>
      <name val="Rupee Foradian"/>
      <family val="2"/>
    </font>
    <font>
      <b/>
      <sz val="12"/>
      <name val="Rupee Foradian"/>
      <family val="2"/>
    </font>
    <font>
      <sz val="10"/>
      <color theme="0"/>
      <name val="Tahoma"/>
      <family val="2"/>
    </font>
    <font>
      <b/>
      <i/>
      <sz val="7"/>
      <name val="Tahoma"/>
      <family val="2"/>
    </font>
    <font>
      <b/>
      <sz val="18"/>
      <color theme="1"/>
      <name val="Tahoma"/>
      <family val="2"/>
    </font>
    <font>
      <sz val="10"/>
      <color theme="1"/>
      <name val="Tahoma"/>
      <family val="2"/>
    </font>
    <font>
      <sz val="16"/>
      <color theme="1"/>
      <name val="Tahoma"/>
      <family val="2"/>
    </font>
    <font>
      <sz val="18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4"/>
      <color rgb="FFFF0000"/>
      <name val="Tahoma"/>
      <family val="2"/>
    </font>
    <font>
      <b/>
      <sz val="12"/>
      <color theme="0"/>
      <name val="Tahoma"/>
      <family val="2"/>
    </font>
    <font>
      <b/>
      <sz val="10"/>
      <name val="Courier New"/>
      <family val="3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11"/>
      <color rgb="FFFF0000"/>
      <name val="Calibri"/>
      <family val="2"/>
      <scheme val="minor"/>
    </font>
    <font>
      <sz val="8"/>
      <name val="COURIER"/>
    </font>
    <font>
      <b/>
      <sz val="8"/>
      <name val="COURIER"/>
    </font>
    <font>
      <sz val="10"/>
      <name val="COURIER"/>
    </font>
    <font>
      <b/>
      <sz val="10"/>
      <name val="COURIER"/>
    </font>
    <font>
      <sz val="10"/>
      <name val="Courier New"/>
      <family val="3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2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669999"/>
      </left>
      <right style="medium">
        <color rgb="FF669999"/>
      </right>
      <top style="medium">
        <color rgb="FF669999"/>
      </top>
      <bottom style="medium">
        <color rgb="FF669999"/>
      </bottom>
      <diagonal/>
    </border>
  </borders>
  <cellStyleXfs count="68">
    <xf numFmtId="0" fontId="0" fillId="0" borderId="0"/>
    <xf numFmtId="0" fontId="15" fillId="0" borderId="0"/>
    <xf numFmtId="0" fontId="20" fillId="0" borderId="0"/>
    <xf numFmtId="0" fontId="20" fillId="0" borderId="0"/>
    <xf numFmtId="0" fontId="14" fillId="0" borderId="0"/>
    <xf numFmtId="16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3" fillId="0" borderId="0"/>
    <xf numFmtId="0" fontId="2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9" fontId="59" fillId="0" borderId="0" applyFont="0" applyFill="0" applyBorder="0" applyAlignment="0" applyProtection="0"/>
    <xf numFmtId="0" fontId="9" fillId="0" borderId="0"/>
    <xf numFmtId="178" fontId="20" fillId="0" borderId="0" applyFont="0" applyFill="0" applyBorder="0" applyAlignment="0" applyProtection="0"/>
    <xf numFmtId="0" fontId="7" fillId="0" borderId="0"/>
    <xf numFmtId="0" fontId="6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5" fillId="0" borderId="0"/>
    <xf numFmtId="0" fontId="5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35">
    <xf numFmtId="0" fontId="0" fillId="0" borderId="0" xfId="0"/>
    <xf numFmtId="0" fontId="17" fillId="0" borderId="0" xfId="0" applyFo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5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1" fillId="0" borderId="3" xfId="0" quotePrefix="1" applyFont="1" applyFill="1" applyBorder="1" applyAlignment="1" applyProtection="1">
      <alignment horizontal="left" vertical="center"/>
    </xf>
    <xf numFmtId="1" fontId="19" fillId="0" borderId="3" xfId="0" applyNumberFormat="1" applyFont="1" applyFill="1" applyBorder="1" applyAlignment="1">
      <alignment horizontal="right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left" vertical="center"/>
    </xf>
    <xf numFmtId="2" fontId="21" fillId="0" borderId="3" xfId="0" applyNumberFormat="1" applyFont="1" applyFill="1" applyBorder="1" applyAlignment="1">
      <alignment horizontal="right" vertical="center"/>
    </xf>
    <xf numFmtId="2" fontId="21" fillId="0" borderId="3" xfId="0" applyNumberFormat="1" applyFont="1" applyFill="1" applyBorder="1" applyAlignment="1">
      <alignment horizontal="right" vertical="center" wrapText="1"/>
    </xf>
    <xf numFmtId="0" fontId="21" fillId="0" borderId="3" xfId="0" applyFont="1" applyFill="1" applyBorder="1" applyAlignment="1" applyProtection="1">
      <alignment horizontal="left" vertical="center"/>
    </xf>
    <xf numFmtId="2" fontId="21" fillId="0" borderId="6" xfId="0" applyNumberFormat="1" applyFont="1" applyFill="1" applyBorder="1" applyAlignment="1">
      <alignment horizontal="right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Fill="1" applyBorder="1" applyAlignment="1" applyProtection="1">
      <alignment horizontal="right" vertical="center"/>
    </xf>
    <xf numFmtId="2" fontId="19" fillId="0" borderId="9" xfId="0" applyNumberFormat="1" applyFont="1" applyFill="1" applyBorder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left" vertical="center"/>
    </xf>
    <xf numFmtId="2" fontId="21" fillId="0" borderId="12" xfId="0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 applyProtection="1">
      <alignment horizontal="right" vertical="center"/>
    </xf>
    <xf numFmtId="2" fontId="19" fillId="0" borderId="3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 applyProtection="1">
      <alignment horizontal="right" vertical="center"/>
    </xf>
    <xf numFmtId="1" fontId="21" fillId="0" borderId="14" xfId="0" applyNumberFormat="1" applyFont="1" applyFill="1" applyBorder="1" applyAlignment="1" applyProtection="1">
      <alignment horizontal="center" vertical="center"/>
    </xf>
    <xf numFmtId="0" fontId="19" fillId="0" borderId="15" xfId="0" quotePrefix="1" applyFont="1" applyFill="1" applyBorder="1" applyAlignment="1" applyProtection="1">
      <alignment horizontal="left" vertical="center"/>
    </xf>
    <xf numFmtId="2" fontId="19" fillId="0" borderId="16" xfId="0" applyNumberFormat="1" applyFont="1" applyFill="1" applyBorder="1" applyAlignment="1">
      <alignment horizontal="right" vertical="center"/>
    </xf>
    <xf numFmtId="1" fontId="21" fillId="0" borderId="17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19" fillId="0" borderId="18" xfId="0" quotePrefix="1" applyFont="1" applyFill="1" applyBorder="1" applyAlignment="1" applyProtection="1">
      <alignment horizontal="left" vertical="center"/>
    </xf>
    <xf numFmtId="2" fontId="19" fillId="0" borderId="18" xfId="0" applyNumberFormat="1" applyFont="1" applyFill="1" applyBorder="1" applyAlignment="1">
      <alignment horizontal="right" vertical="center"/>
    </xf>
    <xf numFmtId="1" fontId="21" fillId="0" borderId="20" xfId="0" applyNumberFormat="1" applyFont="1" applyFill="1" applyBorder="1" applyAlignment="1" applyProtection="1">
      <alignment horizontal="center" vertical="center"/>
    </xf>
    <xf numFmtId="0" fontId="21" fillId="0" borderId="21" xfId="0" quotePrefix="1" applyFont="1" applyFill="1" applyBorder="1" applyAlignment="1" applyProtection="1">
      <alignment horizontal="left" vertical="center"/>
    </xf>
    <xf numFmtId="2" fontId="21" fillId="0" borderId="21" xfId="0" applyNumberFormat="1" applyFont="1" applyFill="1" applyBorder="1" applyAlignment="1">
      <alignment horizontal="right" vertical="center"/>
    </xf>
    <xf numFmtId="1" fontId="21" fillId="0" borderId="22" xfId="0" applyNumberFormat="1" applyFont="1" applyFill="1" applyBorder="1" applyAlignment="1" applyProtection="1">
      <alignment horizontal="center" vertical="center"/>
    </xf>
    <xf numFmtId="1" fontId="21" fillId="0" borderId="23" xfId="0" applyNumberFormat="1" applyFont="1" applyFill="1" applyBorder="1" applyAlignment="1" applyProtection="1">
      <alignment horizontal="center" vertical="center"/>
    </xf>
    <xf numFmtId="0" fontId="17" fillId="0" borderId="24" xfId="2" applyFont="1" applyFill="1" applyBorder="1" applyAlignment="1">
      <alignment horizontal="left" wrapText="1"/>
    </xf>
    <xf numFmtId="1" fontId="17" fillId="0" borderId="21" xfId="2" applyNumberFormat="1" applyFont="1" applyFill="1" applyBorder="1" applyAlignment="1"/>
    <xf numFmtId="0" fontId="17" fillId="0" borderId="25" xfId="2" applyFont="1" applyFill="1" applyBorder="1" applyAlignment="1">
      <alignment horizontal="left" wrapText="1"/>
    </xf>
    <xf numFmtId="1" fontId="17" fillId="0" borderId="3" xfId="2" applyNumberFormat="1" applyFont="1" applyFill="1" applyBorder="1" applyAlignment="1"/>
    <xf numFmtId="1" fontId="18" fillId="0" borderId="3" xfId="2" applyNumberFormat="1" applyFont="1" applyFill="1" applyBorder="1" applyAlignment="1"/>
    <xf numFmtId="2" fontId="18" fillId="0" borderId="3" xfId="2" applyNumberFormat="1" applyFont="1" applyFill="1" applyBorder="1" applyAlignment="1"/>
    <xf numFmtId="0" fontId="17" fillId="0" borderId="26" xfId="2" applyFont="1" applyFill="1" applyBorder="1" applyAlignment="1">
      <alignment horizontal="left" wrapText="1"/>
    </xf>
    <xf numFmtId="2" fontId="18" fillId="0" borderId="18" xfId="2" applyNumberFormat="1" applyFont="1" applyFill="1" applyBorder="1" applyAlignment="1"/>
    <xf numFmtId="0" fontId="19" fillId="0" borderId="27" xfId="0" applyFont="1" applyFill="1" applyBorder="1" applyAlignment="1" applyProtection="1">
      <alignment horizontal="left" vertical="center"/>
    </xf>
    <xf numFmtId="1" fontId="21" fillId="0" borderId="1" xfId="0" applyNumberFormat="1" applyFont="1" applyFill="1" applyBorder="1" applyAlignment="1" applyProtection="1">
      <alignment horizontal="center" vertical="center"/>
    </xf>
    <xf numFmtId="0" fontId="17" fillId="0" borderId="21" xfId="2" applyFont="1" applyFill="1" applyBorder="1" applyAlignment="1">
      <alignment horizontal="left" wrapText="1"/>
    </xf>
    <xf numFmtId="1" fontId="21" fillId="0" borderId="21" xfId="0" applyNumberFormat="1" applyFont="1" applyFill="1" applyBorder="1" applyAlignment="1">
      <alignment horizontal="right" vertical="center"/>
    </xf>
    <xf numFmtId="1" fontId="21" fillId="0" borderId="4" xfId="0" applyNumberFormat="1" applyFont="1" applyFill="1" applyBorder="1" applyAlignment="1" applyProtection="1">
      <alignment horizontal="center" vertical="center"/>
    </xf>
    <xf numFmtId="0" fontId="17" fillId="0" borderId="3" xfId="2" applyFont="1" applyFill="1" applyBorder="1" applyAlignment="1">
      <alignment horizontal="left" wrapText="1"/>
    </xf>
    <xf numFmtId="1" fontId="21" fillId="0" borderId="3" xfId="0" applyNumberFormat="1" applyFont="1" applyFill="1" applyBorder="1" applyAlignment="1">
      <alignment horizontal="right" vertical="center"/>
    </xf>
    <xf numFmtId="0" fontId="18" fillId="0" borderId="3" xfId="2" applyFont="1" applyFill="1" applyBorder="1" applyAlignment="1">
      <alignment horizontal="right" wrapText="1"/>
    </xf>
    <xf numFmtId="1" fontId="18" fillId="0" borderId="3" xfId="0" applyNumberFormat="1" applyFont="1" applyFill="1" applyBorder="1"/>
    <xf numFmtId="0" fontId="17" fillId="0" borderId="4" xfId="0" applyFont="1" applyFill="1" applyBorder="1"/>
    <xf numFmtId="0" fontId="17" fillId="0" borderId="28" xfId="0" applyFont="1" applyFill="1" applyBorder="1"/>
    <xf numFmtId="0" fontId="17" fillId="0" borderId="18" xfId="2" applyFont="1" applyFill="1" applyBorder="1" applyAlignment="1">
      <alignment horizontal="left" wrapText="1"/>
    </xf>
    <xf numFmtId="0" fontId="0" fillId="0" borderId="0" xfId="0" applyFill="1" applyBorder="1" applyAlignment="1"/>
    <xf numFmtId="1" fontId="19" fillId="0" borderId="20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/>
    </xf>
    <xf numFmtId="0" fontId="14" fillId="0" borderId="0" xfId="4"/>
    <xf numFmtId="0" fontId="22" fillId="2" borderId="0" xfId="4" applyFont="1" applyFill="1"/>
    <xf numFmtId="0" fontId="14" fillId="3" borderId="0" xfId="4" applyFill="1"/>
    <xf numFmtId="4" fontId="14" fillId="0" borderId="0" xfId="4" applyNumberFormat="1"/>
    <xf numFmtId="0" fontId="24" fillId="0" borderId="0" xfId="0" applyFont="1" applyFill="1" applyAlignment="1">
      <alignment vertical="center"/>
    </xf>
    <xf numFmtId="0" fontId="24" fillId="0" borderId="32" xfId="0" applyFont="1" applyFill="1" applyBorder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165" fontId="25" fillId="0" borderId="5" xfId="0" applyNumberFormat="1" applyFont="1" applyFill="1" applyBorder="1" applyAlignment="1">
      <alignment horizontal="center" vertical="center"/>
    </xf>
    <xf numFmtId="0" fontId="20" fillId="0" borderId="35" xfId="0" applyFont="1" applyBorder="1" applyAlignment="1">
      <alignment horizontal="right"/>
    </xf>
    <xf numFmtId="166" fontId="24" fillId="0" borderId="3" xfId="5" applyNumberFormat="1" applyFont="1" applyFill="1" applyBorder="1" applyAlignment="1">
      <alignment vertical="center"/>
    </xf>
    <xf numFmtId="164" fontId="24" fillId="0" borderId="7" xfId="5" applyFont="1" applyFill="1" applyBorder="1" applyAlignment="1">
      <alignment vertical="center"/>
    </xf>
    <xf numFmtId="167" fontId="25" fillId="0" borderId="36" xfId="0" applyNumberFormat="1" applyFont="1" applyFill="1" applyBorder="1" applyAlignment="1">
      <alignment vertical="center"/>
    </xf>
    <xf numFmtId="164" fontId="25" fillId="0" borderId="3" xfId="5" applyFont="1" applyFill="1" applyBorder="1" applyAlignment="1">
      <alignment vertical="center"/>
    </xf>
    <xf numFmtId="164" fontId="25" fillId="0" borderId="7" xfId="5" applyFont="1" applyFill="1" applyBorder="1" applyAlignment="1">
      <alignment vertical="center"/>
    </xf>
    <xf numFmtId="0" fontId="25" fillId="0" borderId="37" xfId="0" applyFont="1" applyFill="1" applyBorder="1" applyAlignment="1">
      <alignment vertical="center"/>
    </xf>
    <xf numFmtId="168" fontId="24" fillId="0" borderId="3" xfId="5" applyNumberFormat="1" applyFont="1" applyFill="1" applyBorder="1" applyAlignment="1">
      <alignment vertical="center"/>
    </xf>
    <xf numFmtId="167" fontId="24" fillId="0" borderId="3" xfId="0" applyNumberFormat="1" applyFont="1" applyFill="1" applyBorder="1" applyAlignment="1">
      <alignment vertical="center"/>
    </xf>
    <xf numFmtId="0" fontId="25" fillId="0" borderId="36" xfId="0" applyFont="1" applyFill="1" applyBorder="1" applyAlignment="1">
      <alignment vertical="center"/>
    </xf>
    <xf numFmtId="165" fontId="25" fillId="0" borderId="38" xfId="0" applyNumberFormat="1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vertical="center"/>
    </xf>
    <xf numFmtId="164" fontId="25" fillId="0" borderId="40" xfId="5" applyFont="1" applyFill="1" applyBorder="1" applyAlignment="1">
      <alignment vertical="center"/>
    </xf>
    <xf numFmtId="164" fontId="25" fillId="0" borderId="41" xfId="5" applyFont="1" applyFill="1" applyBorder="1" applyAlignment="1">
      <alignment vertical="center"/>
    </xf>
    <xf numFmtId="0" fontId="25" fillId="0" borderId="42" xfId="0" applyFont="1" applyFill="1" applyBorder="1" applyAlignment="1">
      <alignment vertical="center"/>
    </xf>
    <xf numFmtId="168" fontId="24" fillId="0" borderId="40" xfId="5" applyNumberFormat="1" applyFont="1" applyFill="1" applyBorder="1" applyAlignment="1">
      <alignment vertical="center"/>
    </xf>
    <xf numFmtId="167" fontId="24" fillId="0" borderId="40" xfId="0" applyNumberFormat="1" applyFont="1" applyFill="1" applyBorder="1" applyAlignment="1">
      <alignment vertical="center"/>
    </xf>
    <xf numFmtId="164" fontId="24" fillId="0" borderId="41" xfId="5" applyFont="1" applyFill="1" applyBorder="1" applyAlignment="1">
      <alignment vertical="center"/>
    </xf>
    <xf numFmtId="165" fontId="25" fillId="0" borderId="8" xfId="0" applyNumberFormat="1" applyFont="1" applyFill="1" applyBorder="1" applyAlignment="1">
      <alignment horizontal="center" vertical="center"/>
    </xf>
    <xf numFmtId="168" fontId="25" fillId="4" borderId="10" xfId="5" applyNumberFormat="1" applyFont="1" applyFill="1" applyBorder="1" applyAlignment="1">
      <alignment vertical="center"/>
    </xf>
    <xf numFmtId="166" fontId="25" fillId="4" borderId="9" xfId="5" applyNumberFormat="1" applyFont="1" applyFill="1" applyBorder="1" applyAlignment="1">
      <alignment vertical="center"/>
    </xf>
    <xf numFmtId="164" fontId="25" fillId="4" borderId="10" xfId="5" applyFont="1" applyFill="1" applyBorder="1" applyAlignment="1">
      <alignment vertical="center"/>
    </xf>
    <xf numFmtId="0" fontId="25" fillId="0" borderId="43" xfId="0" applyFont="1" applyFill="1" applyBorder="1" applyAlignment="1">
      <alignment vertical="center"/>
    </xf>
    <xf numFmtId="164" fontId="25" fillId="0" borderId="10" xfId="5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167" fontId="25" fillId="4" borderId="9" xfId="0" applyNumberFormat="1" applyFont="1" applyFill="1" applyBorder="1" applyAlignment="1">
      <alignment vertical="center"/>
    </xf>
    <xf numFmtId="165" fontId="25" fillId="0" borderId="11" xfId="0" applyNumberFormat="1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vertical="center"/>
    </xf>
    <xf numFmtId="164" fontId="25" fillId="0" borderId="12" xfId="5" applyFont="1" applyFill="1" applyBorder="1" applyAlignment="1">
      <alignment vertical="center"/>
    </xf>
    <xf numFmtId="164" fontId="25" fillId="0" borderId="13" xfId="5" applyFont="1" applyFill="1" applyBorder="1" applyAlignment="1">
      <alignment vertical="center"/>
    </xf>
    <xf numFmtId="0" fontId="25" fillId="0" borderId="34" xfId="0" applyFont="1" applyFill="1" applyBorder="1" applyAlignment="1">
      <alignment vertical="center"/>
    </xf>
    <xf numFmtId="168" fontId="24" fillId="0" borderId="12" xfId="5" applyNumberFormat="1" applyFont="1" applyFill="1" applyBorder="1" applyAlignment="1">
      <alignment vertical="center"/>
    </xf>
    <xf numFmtId="167" fontId="24" fillId="0" borderId="12" xfId="0" applyNumberFormat="1" applyFont="1" applyFill="1" applyBorder="1" applyAlignment="1">
      <alignment vertical="center"/>
    </xf>
    <xf numFmtId="164" fontId="24" fillId="0" borderId="13" xfId="5" applyFont="1" applyFill="1" applyBorder="1" applyAlignment="1">
      <alignment vertical="center"/>
    </xf>
    <xf numFmtId="164" fontId="25" fillId="0" borderId="9" xfId="5" applyFont="1" applyFill="1" applyBorder="1" applyAlignment="1">
      <alignment vertical="center"/>
    </xf>
    <xf numFmtId="168" fontId="25" fillId="4" borderId="9" xfId="5" applyNumberFormat="1" applyFont="1" applyFill="1" applyBorder="1" applyAlignment="1">
      <alignment vertical="center"/>
    </xf>
    <xf numFmtId="164" fontId="25" fillId="4" borderId="9" xfId="5" applyFont="1" applyFill="1" applyBorder="1" applyAlignment="1">
      <alignment vertical="center"/>
    </xf>
    <xf numFmtId="166" fontId="25" fillId="0" borderId="3" xfId="5" applyNumberFormat="1" applyFont="1" applyFill="1" applyBorder="1" applyAlignment="1">
      <alignment vertical="center"/>
    </xf>
    <xf numFmtId="168" fontId="25" fillId="0" borderId="12" xfId="5" applyNumberFormat="1" applyFont="1" applyFill="1" applyBorder="1" applyAlignment="1">
      <alignment vertical="center"/>
    </xf>
    <xf numFmtId="167" fontId="25" fillId="0" borderId="12" xfId="0" applyNumberFormat="1" applyFont="1" applyFill="1" applyBorder="1" applyAlignment="1">
      <alignment vertical="center"/>
    </xf>
    <xf numFmtId="168" fontId="25" fillId="0" borderId="3" xfId="5" applyNumberFormat="1" applyFont="1" applyFill="1" applyBorder="1" applyAlignment="1">
      <alignment vertical="center"/>
    </xf>
    <xf numFmtId="167" fontId="25" fillId="0" borderId="3" xfId="0" applyNumberFormat="1" applyFont="1" applyFill="1" applyBorder="1" applyAlignment="1">
      <alignment vertical="center"/>
    </xf>
    <xf numFmtId="168" fontId="25" fillId="0" borderId="40" xfId="5" applyNumberFormat="1" applyFont="1" applyFill="1" applyBorder="1" applyAlignment="1">
      <alignment vertical="center"/>
    </xf>
    <xf numFmtId="167" fontId="25" fillId="0" borderId="40" xfId="0" applyNumberFormat="1" applyFont="1" applyFill="1" applyBorder="1" applyAlignment="1">
      <alignment vertical="center"/>
    </xf>
    <xf numFmtId="168" fontId="25" fillId="0" borderId="9" xfId="5" applyNumberFormat="1" applyFont="1" applyFill="1" applyBorder="1" applyAlignment="1">
      <alignment vertical="center"/>
    </xf>
    <xf numFmtId="166" fontId="25" fillId="0" borderId="9" xfId="5" applyNumberFormat="1" applyFont="1" applyFill="1" applyBorder="1" applyAlignment="1">
      <alignment vertical="center"/>
    </xf>
    <xf numFmtId="43" fontId="25" fillId="0" borderId="9" xfId="6" applyNumberFormat="1" applyFont="1" applyFill="1" applyBorder="1" applyAlignment="1">
      <alignment vertical="center"/>
    </xf>
    <xf numFmtId="164" fontId="25" fillId="0" borderId="9" xfId="5" applyNumberFormat="1" applyFont="1" applyFill="1" applyBorder="1" applyAlignment="1">
      <alignment vertical="center"/>
    </xf>
    <xf numFmtId="2" fontId="25" fillId="0" borderId="40" xfId="0" applyNumberFormat="1" applyFont="1" applyFill="1" applyBorder="1" applyAlignment="1">
      <alignment vertical="center"/>
    </xf>
    <xf numFmtId="165" fontId="25" fillId="0" borderId="8" xfId="0" applyNumberFormat="1" applyFont="1" applyFill="1" applyBorder="1" applyAlignment="1">
      <alignment vertical="center"/>
    </xf>
    <xf numFmtId="2" fontId="25" fillId="0" borderId="9" xfId="0" applyNumberFormat="1" applyFont="1" applyFill="1" applyBorder="1" applyAlignment="1">
      <alignment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165" fontId="27" fillId="0" borderId="0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7" fillId="0" borderId="0" xfId="0" applyNumberFormat="1" applyFont="1" applyFill="1" applyBorder="1" applyAlignment="1">
      <alignment vertical="center"/>
    </xf>
    <xf numFmtId="2" fontId="24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4" fontId="24" fillId="0" borderId="0" xfId="0" applyNumberFormat="1" applyFont="1" applyFill="1" applyAlignment="1">
      <alignment vertical="center"/>
    </xf>
    <xf numFmtId="17" fontId="25" fillId="0" borderId="27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vertical="center"/>
    </xf>
    <xf numFmtId="164" fontId="24" fillId="0" borderId="44" xfId="5" applyFont="1" applyFill="1" applyBorder="1" applyAlignment="1">
      <alignment vertical="center"/>
    </xf>
    <xf numFmtId="170" fontId="24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vertical="center"/>
    </xf>
    <xf numFmtId="164" fontId="24" fillId="0" borderId="36" xfId="5" applyFont="1" applyFill="1" applyBorder="1" applyAlignment="1">
      <alignment vertical="center"/>
    </xf>
    <xf numFmtId="164" fontId="24" fillId="0" borderId="0" xfId="0" applyNumberFormat="1" applyFont="1" applyFill="1" applyAlignment="1">
      <alignment vertical="center"/>
    </xf>
    <xf numFmtId="2" fontId="24" fillId="0" borderId="0" xfId="0" applyNumberFormat="1" applyFont="1" applyFill="1" applyAlignment="1">
      <alignment vertical="center"/>
    </xf>
    <xf numFmtId="0" fontId="25" fillId="0" borderId="5" xfId="0" applyFont="1" applyFill="1" applyBorder="1" applyAlignment="1">
      <alignment horizontal="left" vertical="center"/>
    </xf>
    <xf numFmtId="0" fontId="25" fillId="0" borderId="22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vertical="center"/>
    </xf>
    <xf numFmtId="164" fontId="25" fillId="0" borderId="19" xfId="5" applyFont="1" applyFill="1" applyBorder="1" applyAlignment="1">
      <alignment vertical="center"/>
    </xf>
    <xf numFmtId="164" fontId="24" fillId="0" borderId="46" xfId="5" applyFont="1" applyFill="1" applyBorder="1" applyAlignment="1">
      <alignment vertical="center"/>
    </xf>
    <xf numFmtId="0" fontId="31" fillId="0" borderId="0" xfId="0" applyFont="1" applyFill="1" applyBorder="1" applyAlignment="1"/>
    <xf numFmtId="1" fontId="32" fillId="0" borderId="3" xfId="0" applyNumberFormat="1" applyFont="1" applyFill="1" applyBorder="1" applyAlignment="1">
      <alignment horizontal="right" vertical="center" wrapText="1"/>
    </xf>
    <xf numFmtId="1" fontId="32" fillId="0" borderId="3" xfId="0" applyNumberFormat="1" applyFont="1" applyFill="1" applyBorder="1" applyAlignment="1">
      <alignment horizontal="center" vertical="center" wrapText="1"/>
    </xf>
    <xf numFmtId="2" fontId="33" fillId="0" borderId="3" xfId="0" applyNumberFormat="1" applyFont="1" applyFill="1" applyBorder="1" applyAlignment="1">
      <alignment horizontal="right" vertical="center"/>
    </xf>
    <xf numFmtId="2" fontId="33" fillId="0" borderId="3" xfId="0" quotePrefix="1" applyNumberFormat="1" applyFont="1" applyFill="1" applyBorder="1" applyAlignment="1" applyProtection="1">
      <alignment horizontal="right" vertical="center"/>
    </xf>
    <xf numFmtId="2" fontId="33" fillId="0" borderId="6" xfId="0" applyNumberFormat="1" applyFont="1" applyFill="1" applyBorder="1" applyAlignment="1">
      <alignment horizontal="right" vertical="center"/>
    </xf>
    <xf numFmtId="2" fontId="33" fillId="0" borderId="3" xfId="0" applyNumberFormat="1" applyFont="1" applyFill="1" applyBorder="1" applyAlignment="1">
      <alignment horizontal="right" vertical="center" wrapText="1"/>
    </xf>
    <xf numFmtId="2" fontId="32" fillId="0" borderId="9" xfId="0" applyNumberFormat="1" applyFont="1" applyFill="1" applyBorder="1" applyAlignment="1">
      <alignment horizontal="right" vertical="center"/>
    </xf>
    <xf numFmtId="2" fontId="33" fillId="0" borderId="12" xfId="0" applyNumberFormat="1" applyFont="1" applyFill="1" applyBorder="1" applyAlignment="1">
      <alignment horizontal="right" vertical="center"/>
    </xf>
    <xf numFmtId="2" fontId="34" fillId="0" borderId="6" xfId="0" applyNumberFormat="1" applyFont="1" applyFill="1" applyBorder="1" applyAlignment="1">
      <alignment horizontal="right" vertical="center"/>
    </xf>
    <xf numFmtId="2" fontId="32" fillId="0" borderId="3" xfId="0" applyNumberFormat="1" applyFont="1" applyFill="1" applyBorder="1" applyAlignment="1">
      <alignment horizontal="right" vertical="center"/>
    </xf>
    <xf numFmtId="2" fontId="32" fillId="0" borderId="16" xfId="0" applyNumberFormat="1" applyFont="1" applyFill="1" applyBorder="1" applyAlignment="1">
      <alignment horizontal="right" vertical="center"/>
    </xf>
    <xf numFmtId="2" fontId="32" fillId="0" borderId="18" xfId="0" applyNumberFormat="1" applyFont="1" applyFill="1" applyBorder="1" applyAlignment="1">
      <alignment horizontal="right" vertical="center"/>
    </xf>
    <xf numFmtId="2" fontId="33" fillId="0" borderId="21" xfId="0" applyNumberFormat="1" applyFont="1" applyFill="1" applyBorder="1" applyAlignment="1">
      <alignment horizontal="right" vertical="center"/>
    </xf>
    <xf numFmtId="1" fontId="31" fillId="0" borderId="21" xfId="2" applyNumberFormat="1" applyFont="1" applyFill="1" applyBorder="1" applyAlignment="1"/>
    <xf numFmtId="1" fontId="31" fillId="0" borderId="3" xfId="2" applyNumberFormat="1" applyFont="1" applyFill="1" applyBorder="1" applyAlignment="1"/>
    <xf numFmtId="2" fontId="35" fillId="0" borderId="3" xfId="2" applyNumberFormat="1" applyFont="1" applyFill="1" applyBorder="1" applyAlignment="1"/>
    <xf numFmtId="2" fontId="35" fillId="0" borderId="18" xfId="2" applyNumberFormat="1" applyFont="1" applyFill="1" applyBorder="1" applyAlignment="1"/>
    <xf numFmtId="1" fontId="33" fillId="0" borderId="21" xfId="0" applyNumberFormat="1" applyFont="1" applyFill="1" applyBorder="1" applyAlignment="1">
      <alignment horizontal="right" vertical="center"/>
    </xf>
    <xf numFmtId="1" fontId="33" fillId="0" borderId="3" xfId="0" applyNumberFormat="1" applyFont="1" applyFill="1" applyBorder="1" applyAlignment="1">
      <alignment horizontal="right" vertical="center"/>
    </xf>
    <xf numFmtId="1" fontId="35" fillId="0" borderId="3" xfId="2" applyNumberFormat="1" applyFont="1" applyFill="1" applyBorder="1" applyAlignment="1"/>
    <xf numFmtId="1" fontId="35" fillId="0" borderId="3" xfId="0" applyNumberFormat="1" applyFont="1" applyFill="1" applyBorder="1"/>
    <xf numFmtId="0" fontId="31" fillId="0" borderId="0" xfId="0" applyFont="1"/>
    <xf numFmtId="2" fontId="17" fillId="0" borderId="0" xfId="0" applyNumberFormat="1" applyFont="1"/>
    <xf numFmtId="0" fontId="36" fillId="0" borderId="3" xfId="0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right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/>
    <xf numFmtId="2" fontId="17" fillId="0" borderId="3" xfId="0" applyNumberFormat="1" applyFont="1" applyBorder="1"/>
    <xf numFmtId="2" fontId="0" fillId="0" borderId="0" xfId="0" applyNumberFormat="1"/>
    <xf numFmtId="0" fontId="13" fillId="0" borderId="0" xfId="8"/>
    <xf numFmtId="0" fontId="29" fillId="0" borderId="3" xfId="8" applyFont="1" applyFill="1" applyBorder="1" applyAlignment="1">
      <alignment vertical="center" wrapText="1"/>
    </xf>
    <xf numFmtId="0" fontId="29" fillId="0" borderId="3" xfId="8" applyFont="1" applyFill="1" applyBorder="1" applyAlignment="1">
      <alignment horizontal="right" vertical="center" wrapText="1"/>
    </xf>
    <xf numFmtId="0" fontId="29" fillId="5" borderId="3" xfId="8" applyFont="1" applyFill="1" applyBorder="1" applyAlignment="1">
      <alignment horizontal="right" vertical="center" wrapText="1"/>
    </xf>
    <xf numFmtId="0" fontId="38" fillId="0" borderId="3" xfId="8" applyFont="1" applyBorder="1" applyAlignment="1">
      <alignment horizontal="center" vertical="center" wrapText="1"/>
    </xf>
    <xf numFmtId="0" fontId="38" fillId="0" borderId="3" xfId="8" applyFont="1" applyBorder="1" applyAlignment="1">
      <alignment horizontal="center" vertical="center"/>
    </xf>
    <xf numFmtId="0" fontId="23" fillId="0" borderId="3" xfId="8" applyFont="1" applyFill="1" applyBorder="1" applyAlignment="1">
      <alignment vertical="center"/>
    </xf>
    <xf numFmtId="0" fontId="23" fillId="0" borderId="3" xfId="8" applyFont="1" applyFill="1" applyBorder="1" applyAlignment="1">
      <alignment horizontal="center" vertical="center" wrapText="1"/>
    </xf>
    <xf numFmtId="0" fontId="23" fillId="0" borderId="3" xfId="8" applyFont="1" applyFill="1" applyBorder="1" applyAlignment="1">
      <alignment horizontal="right" vertical="center" wrapText="1"/>
    </xf>
    <xf numFmtId="171" fontId="23" fillId="0" borderId="3" xfId="8" applyNumberFormat="1" applyFont="1" applyFill="1" applyBorder="1" applyAlignment="1">
      <alignment horizontal="right" vertical="center" wrapText="1"/>
    </xf>
    <xf numFmtId="0" fontId="13" fillId="0" borderId="0" xfId="8" applyFont="1"/>
    <xf numFmtId="0" fontId="40" fillId="6" borderId="3" xfId="8" applyFont="1" applyFill="1" applyBorder="1" applyAlignment="1">
      <alignment horizontal="left" vertical="center"/>
    </xf>
    <xf numFmtId="0" fontId="41" fillId="6" borderId="3" xfId="8" applyFont="1" applyFill="1" applyBorder="1" applyAlignment="1">
      <alignment horizontal="left" vertical="center"/>
    </xf>
    <xf numFmtId="0" fontId="30" fillId="6" borderId="3" xfId="8" applyFont="1" applyFill="1" applyBorder="1" applyAlignment="1">
      <alignment vertical="center"/>
    </xf>
    <xf numFmtId="171" fontId="30" fillId="6" borderId="3" xfId="8" applyNumberFormat="1" applyFont="1" applyFill="1" applyBorder="1" applyAlignment="1">
      <alignment horizontal="right" vertical="center"/>
    </xf>
    <xf numFmtId="1" fontId="42" fillId="6" borderId="3" xfId="8" applyNumberFormat="1" applyFont="1" applyFill="1" applyBorder="1" applyAlignment="1">
      <alignment horizontal="right" vertical="center"/>
    </xf>
    <xf numFmtId="1" fontId="42" fillId="6" borderId="3" xfId="8" applyNumberFormat="1" applyFont="1" applyFill="1" applyBorder="1" applyAlignment="1">
      <alignment horizontal="center" vertical="center"/>
    </xf>
    <xf numFmtId="1" fontId="13" fillId="6" borderId="0" xfId="8" applyNumberFormat="1" applyFill="1"/>
    <xf numFmtId="0" fontId="13" fillId="6" borderId="0" xfId="8" applyFill="1"/>
    <xf numFmtId="1" fontId="42" fillId="6" borderId="0" xfId="8" applyNumberFormat="1" applyFont="1" applyFill="1" applyBorder="1" applyAlignment="1">
      <alignment horizontal="center" vertical="center"/>
    </xf>
    <xf numFmtId="0" fontId="43" fillId="0" borderId="3" xfId="8" applyFont="1" applyBorder="1" applyAlignment="1">
      <alignment horizontal="left" vertical="center"/>
    </xf>
    <xf numFmtId="171" fontId="44" fillId="0" borderId="3" xfId="8" applyNumberFormat="1" applyFont="1" applyFill="1" applyBorder="1" applyAlignment="1">
      <alignment horizontal="left" vertical="center"/>
    </xf>
    <xf numFmtId="2" fontId="45" fillId="0" borderId="3" xfId="8" applyNumberFormat="1" applyFont="1" applyBorder="1" applyAlignment="1">
      <alignment horizontal="center" vertical="center"/>
    </xf>
    <xf numFmtId="2" fontId="13" fillId="0" borderId="0" xfId="8" applyNumberFormat="1"/>
    <xf numFmtId="0" fontId="40" fillId="0" borderId="3" xfId="8" applyFont="1" applyBorder="1" applyAlignment="1">
      <alignment horizontal="left" vertical="center"/>
    </xf>
    <xf numFmtId="0" fontId="40" fillId="0" borderId="3" xfId="8" applyFont="1" applyBorder="1" applyAlignment="1">
      <alignment horizontal="center" vertical="center"/>
    </xf>
    <xf numFmtId="171" fontId="46" fillId="0" borderId="0" xfId="8" applyNumberFormat="1" applyFont="1" applyBorder="1" applyAlignment="1">
      <alignment vertical="center"/>
    </xf>
    <xf numFmtId="171" fontId="46" fillId="0" borderId="0" xfId="8" applyNumberFormat="1" applyFont="1" applyBorder="1" applyAlignment="1">
      <alignment horizontal="right" vertical="center"/>
    </xf>
    <xf numFmtId="4" fontId="46" fillId="0" borderId="0" xfId="8" applyNumberFormat="1" applyFont="1" applyBorder="1" applyAlignment="1">
      <alignment horizontal="right" vertical="center"/>
    </xf>
    <xf numFmtId="0" fontId="46" fillId="0" borderId="0" xfId="8" applyFont="1" applyBorder="1" applyAlignment="1">
      <alignment vertical="center"/>
    </xf>
    <xf numFmtId="2" fontId="46" fillId="0" borderId="0" xfId="8" applyNumberFormat="1" applyFont="1" applyBorder="1" applyAlignment="1">
      <alignment horizontal="right" vertical="center"/>
    </xf>
    <xf numFmtId="172" fontId="46" fillId="0" borderId="0" xfId="8" applyNumberFormat="1" applyFont="1" applyBorder="1" applyAlignment="1">
      <alignment horizontal="right" vertical="center"/>
    </xf>
    <xf numFmtId="0" fontId="22" fillId="0" borderId="0" xfId="8" applyFont="1"/>
    <xf numFmtId="0" fontId="18" fillId="7" borderId="0" xfId="8" applyFont="1" applyFill="1" applyAlignment="1"/>
    <xf numFmtId="2" fontId="46" fillId="0" borderId="0" xfId="8" applyNumberFormat="1" applyFont="1" applyBorder="1" applyAlignment="1">
      <alignment vertical="center"/>
    </xf>
    <xf numFmtId="173" fontId="18" fillId="0" borderId="0" xfId="8" applyNumberFormat="1" applyFont="1" applyFill="1" applyBorder="1" applyAlignment="1">
      <alignment horizontal="center" vertical="center"/>
    </xf>
    <xf numFmtId="0" fontId="18" fillId="7" borderId="0" xfId="8" applyFont="1" applyFill="1" applyAlignment="1">
      <alignment horizontal="left"/>
    </xf>
    <xf numFmtId="173" fontId="18" fillId="0" borderId="0" xfId="9" applyNumberFormat="1" applyFont="1" applyFill="1" applyBorder="1" applyAlignment="1">
      <alignment horizontal="center" vertical="center"/>
    </xf>
    <xf numFmtId="0" fontId="46" fillId="0" borderId="0" xfId="8" applyFont="1" applyBorder="1" applyAlignment="1">
      <alignment horizontal="right" vertical="center"/>
    </xf>
    <xf numFmtId="0" fontId="47" fillId="0" borderId="0" xfId="8" applyFont="1" applyAlignment="1">
      <alignment horizontal="left" vertical="center"/>
    </xf>
    <xf numFmtId="0" fontId="47" fillId="0" borderId="0" xfId="8" applyFont="1" applyAlignment="1">
      <alignment vertical="center"/>
    </xf>
    <xf numFmtId="1" fontId="48" fillId="0" borderId="0" xfId="8" applyNumberFormat="1" applyFont="1" applyBorder="1" applyAlignment="1">
      <alignment horizontal="right" vertical="center"/>
    </xf>
    <xf numFmtId="171" fontId="47" fillId="0" borderId="0" xfId="8" applyNumberFormat="1" applyFont="1" applyAlignment="1">
      <alignment vertical="center"/>
    </xf>
    <xf numFmtId="0" fontId="13" fillId="0" borderId="0" xfId="8" applyAlignment="1"/>
    <xf numFmtId="0" fontId="49" fillId="0" borderId="0" xfId="8" applyFont="1" applyAlignment="1">
      <alignment vertical="center"/>
    </xf>
    <xf numFmtId="171" fontId="47" fillId="0" borderId="0" xfId="8" applyNumberFormat="1" applyFont="1" applyAlignment="1">
      <alignment horizontal="right" vertical="center"/>
    </xf>
    <xf numFmtId="2" fontId="35" fillId="0" borderId="3" xfId="0" applyNumberFormat="1" applyFont="1" applyFill="1" applyBorder="1"/>
    <xf numFmtId="2" fontId="18" fillId="0" borderId="3" xfId="0" applyNumberFormat="1" applyFont="1" applyFill="1" applyBorder="1"/>
    <xf numFmtId="2" fontId="31" fillId="0" borderId="3" xfId="2" applyNumberFormat="1" applyFont="1" applyFill="1" applyBorder="1" applyAlignment="1"/>
    <xf numFmtId="2" fontId="17" fillId="0" borderId="3" xfId="2" applyNumberFormat="1" applyFont="1" applyFill="1" applyBorder="1" applyAlignment="1"/>
    <xf numFmtId="0" fontId="50" fillId="0" borderId="47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2" fontId="21" fillId="0" borderId="6" xfId="0" applyNumberFormat="1" applyFont="1" applyFill="1" applyBorder="1" applyAlignment="1">
      <alignment horizontal="right" vertical="center" wrapText="1"/>
    </xf>
    <xf numFmtId="2" fontId="19" fillId="0" borderId="48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2" fillId="0" borderId="0" xfId="11"/>
    <xf numFmtId="0" fontId="40" fillId="0" borderId="3" xfId="11" applyFont="1" applyBorder="1"/>
    <xf numFmtId="0" fontId="40" fillId="0" borderId="3" xfId="11" applyFont="1" applyBorder="1" applyAlignment="1">
      <alignment wrapText="1"/>
    </xf>
    <xf numFmtId="0" fontId="40" fillId="3" borderId="3" xfId="11" applyFont="1" applyFill="1" applyBorder="1"/>
    <xf numFmtId="0" fontId="40" fillId="3" borderId="3" xfId="11" applyFont="1" applyFill="1" applyBorder="1" applyAlignment="1">
      <alignment wrapText="1"/>
    </xf>
    <xf numFmtId="0" fontId="40" fillId="0" borderId="3" xfId="11" applyFont="1" applyBorder="1" applyAlignment="1">
      <alignment horizontal="left" vertical="center" wrapText="1"/>
    </xf>
    <xf numFmtId="1" fontId="40" fillId="0" borderId="3" xfId="11" applyNumberFormat="1" applyFont="1" applyBorder="1"/>
    <xf numFmtId="2" fontId="40" fillId="0" borderId="3" xfId="11" applyNumberFormat="1" applyFont="1" applyBorder="1"/>
    <xf numFmtId="1" fontId="40" fillId="3" borderId="3" xfId="11" applyNumberFormat="1" applyFont="1" applyFill="1" applyBorder="1"/>
    <xf numFmtId="2" fontId="40" fillId="3" borderId="3" xfId="11" applyNumberFormat="1" applyFont="1" applyFill="1" applyBorder="1"/>
    <xf numFmtId="0" fontId="12" fillId="0" borderId="3" xfId="11" applyBorder="1"/>
    <xf numFmtId="1" fontId="43" fillId="0" borderId="3" xfId="11" applyNumberFormat="1" applyFont="1" applyBorder="1"/>
    <xf numFmtId="2" fontId="43" fillId="0" borderId="3" xfId="11" applyNumberFormat="1" applyFont="1" applyBorder="1"/>
    <xf numFmtId="1" fontId="43" fillId="3" borderId="3" xfId="11" applyNumberFormat="1" applyFont="1" applyFill="1" applyBorder="1"/>
    <xf numFmtId="2" fontId="43" fillId="3" borderId="3" xfId="11" applyNumberFormat="1" applyFont="1" applyFill="1" applyBorder="1"/>
    <xf numFmtId="2" fontId="12" fillId="0" borderId="0" xfId="11" applyNumberFormat="1"/>
    <xf numFmtId="0" fontId="12" fillId="3" borderId="0" xfId="11" applyFill="1"/>
    <xf numFmtId="2" fontId="12" fillId="3" borderId="0" xfId="11" applyNumberFormat="1" applyFill="1"/>
    <xf numFmtId="0" fontId="40" fillId="0" borderId="3" xfId="11" applyFont="1" applyBorder="1" applyAlignment="1">
      <alignment horizontal="center"/>
    </xf>
    <xf numFmtId="0" fontId="40" fillId="0" borderId="3" xfId="11" applyFont="1" applyBorder="1" applyAlignment="1">
      <alignment horizontal="center" vertical="center" wrapText="1"/>
    </xf>
    <xf numFmtId="1" fontId="40" fillId="0" borderId="3" xfId="11" applyNumberFormat="1" applyFont="1" applyBorder="1" applyAlignment="1"/>
    <xf numFmtId="1" fontId="40" fillId="0" borderId="3" xfId="11" applyNumberFormat="1" applyFont="1" applyFill="1" applyBorder="1" applyAlignment="1"/>
    <xf numFmtId="2" fontId="40" fillId="6" borderId="3" xfId="11" applyNumberFormat="1" applyFont="1" applyFill="1" applyBorder="1" applyAlignment="1"/>
    <xf numFmtId="1" fontId="40" fillId="3" borderId="3" xfId="11" applyNumberFormat="1" applyFont="1" applyFill="1" applyBorder="1" applyAlignment="1"/>
    <xf numFmtId="2" fontId="40" fillId="3" borderId="3" xfId="11" applyNumberFormat="1" applyFont="1" applyFill="1" applyBorder="1" applyAlignment="1"/>
    <xf numFmtId="0" fontId="40" fillId="0" borderId="3" xfId="11" applyFont="1" applyBorder="1" applyAlignment="1"/>
    <xf numFmtId="0" fontId="40" fillId="3" borderId="3" xfId="11" applyFont="1" applyFill="1" applyBorder="1" applyAlignment="1"/>
    <xf numFmtId="2" fontId="40" fillId="0" borderId="3" xfId="11" applyNumberFormat="1" applyFont="1" applyBorder="1" applyAlignment="1">
      <alignment wrapText="1"/>
    </xf>
    <xf numFmtId="174" fontId="12" fillId="0" borderId="0" xfId="11" applyNumberFormat="1"/>
    <xf numFmtId="0" fontId="53" fillId="0" borderId="0" xfId="11" applyFont="1" applyAlignment="1">
      <alignment vertical="center"/>
    </xf>
    <xf numFmtId="0" fontId="54" fillId="0" borderId="0" xfId="11" applyFont="1" applyAlignment="1">
      <alignment vertical="center"/>
    </xf>
    <xf numFmtId="0" fontId="54" fillId="0" borderId="0" xfId="11" applyFont="1" applyAlignment="1">
      <alignment horizontal="center" vertical="center"/>
    </xf>
    <xf numFmtId="0" fontId="54" fillId="0" borderId="3" xfId="11" applyFont="1" applyBorder="1" applyAlignment="1">
      <alignment vertical="center"/>
    </xf>
    <xf numFmtId="0" fontId="54" fillId="0" borderId="3" xfId="11" applyFont="1" applyBorder="1" applyAlignment="1">
      <alignment horizontal="center" vertical="center"/>
    </xf>
    <xf numFmtId="2" fontId="54" fillId="0" borderId="3" xfId="11" applyNumberFormat="1" applyFont="1" applyBorder="1" applyAlignment="1">
      <alignment vertical="center"/>
    </xf>
    <xf numFmtId="0" fontId="53" fillId="0" borderId="3" xfId="11" applyFont="1" applyBorder="1" applyAlignment="1">
      <alignment vertical="center"/>
    </xf>
    <xf numFmtId="2" fontId="53" fillId="0" borderId="3" xfId="11" applyNumberFormat="1" applyFont="1" applyBorder="1" applyAlignment="1">
      <alignment vertical="center"/>
    </xf>
    <xf numFmtId="171" fontId="55" fillId="0" borderId="3" xfId="11" applyNumberFormat="1" applyFont="1" applyBorder="1" applyAlignment="1">
      <alignment vertical="center"/>
    </xf>
    <xf numFmtId="0" fontId="55" fillId="0" borderId="3" xfId="11" applyFont="1" applyBorder="1" applyAlignment="1">
      <alignment vertical="center"/>
    </xf>
    <xf numFmtId="2" fontId="53" fillId="0" borderId="0" xfId="11" applyNumberFormat="1" applyFont="1" applyAlignment="1">
      <alignment vertical="center"/>
    </xf>
    <xf numFmtId="2" fontId="56" fillId="3" borderId="0" xfId="11" applyNumberFormat="1" applyFont="1" applyFill="1"/>
    <xf numFmtId="0" fontId="56" fillId="3" borderId="0" xfId="11" applyFont="1" applyFill="1"/>
    <xf numFmtId="0" fontId="12" fillId="0" borderId="0" xfId="4" applyFont="1"/>
    <xf numFmtId="0" fontId="57" fillId="0" borderId="0" xfId="0" applyFont="1" applyAlignment="1">
      <alignment horizontal="center" vertical="center"/>
    </xf>
    <xf numFmtId="0" fontId="57" fillId="0" borderId="0" xfId="12" applyFont="1" applyAlignment="1">
      <alignment horizontal="center" vertical="center"/>
    </xf>
    <xf numFmtId="0" fontId="58" fillId="0" borderId="0" xfId="12" applyFont="1" applyAlignment="1">
      <alignment horizontal="center" vertical="center"/>
    </xf>
    <xf numFmtId="17" fontId="57" fillId="0" borderId="0" xfId="12" applyNumberFormat="1" applyFont="1" applyAlignment="1">
      <alignment horizontal="center" vertical="center"/>
    </xf>
    <xf numFmtId="0" fontId="10" fillId="0" borderId="0" xfId="13"/>
    <xf numFmtId="0" fontId="22" fillId="0" borderId="0" xfId="13" applyFont="1"/>
    <xf numFmtId="0" fontId="49" fillId="0" borderId="3" xfId="13" applyFont="1" applyBorder="1" applyAlignment="1">
      <alignment horizontal="left" wrapText="1"/>
    </xf>
    <xf numFmtId="0" fontId="49" fillId="0" borderId="3" xfId="13" applyFont="1" applyBorder="1" applyAlignment="1">
      <alignment horizontal="center"/>
    </xf>
    <xf numFmtId="0" fontId="10" fillId="0" borderId="3" xfId="13" applyBorder="1"/>
    <xf numFmtId="2" fontId="10" fillId="0" borderId="3" xfId="13" applyNumberFormat="1" applyBorder="1"/>
    <xf numFmtId="0" fontId="22" fillId="0" borderId="3" xfId="13" applyFont="1" applyBorder="1"/>
    <xf numFmtId="2" fontId="22" fillId="0" borderId="3" xfId="13" applyNumberFormat="1" applyFont="1" applyBorder="1"/>
    <xf numFmtId="1" fontId="12" fillId="0" borderId="0" xfId="11" applyNumberFormat="1"/>
    <xf numFmtId="0" fontId="17" fillId="0" borderId="0" xfId="2" applyFont="1" applyFill="1" applyBorder="1" applyAlignment="1">
      <alignment horizontal="left" wrapText="1"/>
    </xf>
    <xf numFmtId="0" fontId="64" fillId="0" borderId="35" xfId="0" applyFont="1" applyBorder="1" applyAlignment="1">
      <alignment horizontal="center" wrapText="1"/>
    </xf>
    <xf numFmtId="0" fontId="64" fillId="0" borderId="52" xfId="0" applyFont="1" applyBorder="1" applyAlignment="1">
      <alignment wrapText="1"/>
    </xf>
    <xf numFmtId="0" fontId="64" fillId="0" borderId="35" xfId="0" applyFont="1" applyBorder="1" applyAlignment="1">
      <alignment wrapText="1"/>
    </xf>
    <xf numFmtId="0" fontId="65" fillId="0" borderId="35" xfId="0" applyFont="1" applyBorder="1" applyAlignment="1">
      <alignment horizontal="right" wrapText="1"/>
    </xf>
    <xf numFmtId="0" fontId="64" fillId="0" borderId="35" xfId="0" applyFont="1" applyBorder="1" applyAlignment="1">
      <alignment horizontal="right" wrapText="1"/>
    </xf>
    <xf numFmtId="0" fontId="65" fillId="0" borderId="52" xfId="0" applyFont="1" applyBorder="1" applyAlignment="1">
      <alignment horizontal="justify" wrapText="1"/>
    </xf>
    <xf numFmtId="2" fontId="65" fillId="0" borderId="35" xfId="0" applyNumberFormat="1" applyFont="1" applyBorder="1" applyAlignment="1">
      <alignment horizontal="right" wrapText="1"/>
    </xf>
    <xf numFmtId="2" fontId="64" fillId="0" borderId="35" xfId="0" applyNumberFormat="1" applyFont="1" applyBorder="1" applyAlignment="1">
      <alignment horizontal="right" wrapText="1"/>
    </xf>
    <xf numFmtId="2" fontId="60" fillId="0" borderId="35" xfId="0" applyNumberFormat="1" applyFont="1" applyBorder="1" applyAlignment="1">
      <alignment wrapText="1"/>
    </xf>
    <xf numFmtId="2" fontId="64" fillId="0" borderId="35" xfId="0" applyNumberFormat="1" applyFont="1" applyBorder="1" applyAlignment="1">
      <alignment wrapText="1"/>
    </xf>
    <xf numFmtId="0" fontId="65" fillId="0" borderId="52" xfId="0" applyFont="1" applyBorder="1" applyAlignment="1">
      <alignment wrapText="1"/>
    </xf>
    <xf numFmtId="0" fontId="65" fillId="0" borderId="0" xfId="0" applyFont="1" applyFill="1" applyBorder="1" applyAlignment="1">
      <alignment wrapText="1"/>
    </xf>
    <xf numFmtId="0" fontId="64" fillId="0" borderId="43" xfId="0" applyFont="1" applyBorder="1" applyAlignment="1">
      <alignment horizontal="center"/>
    </xf>
    <xf numFmtId="0" fontId="64" fillId="0" borderId="52" xfId="0" applyFont="1" applyBorder="1" applyAlignment="1">
      <alignment horizontal="center"/>
    </xf>
    <xf numFmtId="0" fontId="65" fillId="0" borderId="35" xfId="0" applyFont="1" applyBorder="1" applyAlignment="1">
      <alignment horizontal="right"/>
    </xf>
    <xf numFmtId="0" fontId="64" fillId="0" borderId="52" xfId="0" applyFont="1" applyBorder="1" applyAlignment="1">
      <alignment horizontal="right" wrapText="1"/>
    </xf>
    <xf numFmtId="0" fontId="64" fillId="0" borderId="35" xfId="0" applyFont="1" applyBorder="1" applyAlignment="1">
      <alignment horizontal="right"/>
    </xf>
    <xf numFmtId="10" fontId="65" fillId="0" borderId="35" xfId="14" applyNumberFormat="1" applyFont="1" applyBorder="1" applyAlignment="1">
      <alignment horizontal="right"/>
    </xf>
    <xf numFmtId="0" fontId="66" fillId="0" borderId="51" xfId="0" applyFont="1" applyBorder="1"/>
    <xf numFmtId="0" fontId="67" fillId="0" borderId="35" xfId="0" applyFont="1" applyBorder="1" applyAlignment="1">
      <alignment horizontal="center" wrapText="1"/>
    </xf>
    <xf numFmtId="0" fontId="66" fillId="0" borderId="35" xfId="0" applyFont="1" applyBorder="1" applyAlignment="1">
      <alignment horizontal="center" wrapText="1"/>
    </xf>
    <xf numFmtId="0" fontId="68" fillId="0" borderId="52" xfId="0" applyFont="1" applyBorder="1" applyAlignment="1">
      <alignment horizontal="center"/>
    </xf>
    <xf numFmtId="0" fontId="68" fillId="0" borderId="35" xfId="0" applyFont="1" applyBorder="1"/>
    <xf numFmtId="10" fontId="68" fillId="0" borderId="35" xfId="0" applyNumberFormat="1" applyFont="1" applyBorder="1" applyAlignment="1">
      <alignment horizontal="center" wrapText="1"/>
    </xf>
    <xf numFmtId="0" fontId="68" fillId="0" borderId="35" xfId="0" applyFont="1" applyBorder="1" applyAlignment="1">
      <alignment horizontal="center" vertical="top" wrapText="1"/>
    </xf>
    <xf numFmtId="10" fontId="68" fillId="0" borderId="35" xfId="0" applyNumberFormat="1" applyFont="1" applyBorder="1" applyAlignment="1">
      <alignment horizontal="right" wrapText="1"/>
    </xf>
    <xf numFmtId="9" fontId="68" fillId="0" borderId="35" xfId="14" applyFont="1" applyBorder="1" applyAlignment="1">
      <alignment horizontal="center" vertical="top" wrapText="1"/>
    </xf>
    <xf numFmtId="168" fontId="51" fillId="0" borderId="7" xfId="5" applyNumberFormat="1" applyFont="1" applyFill="1" applyBorder="1" applyAlignment="1">
      <alignment vertical="center"/>
    </xf>
    <xf numFmtId="0" fontId="68" fillId="0" borderId="3" xfId="0" applyFont="1" applyBorder="1" applyAlignment="1">
      <alignment horizontal="center"/>
    </xf>
    <xf numFmtId="0" fontId="68" fillId="0" borderId="3" xfId="0" applyFont="1" applyBorder="1"/>
    <xf numFmtId="10" fontId="68" fillId="0" borderId="3" xfId="14" applyNumberFormat="1" applyFont="1" applyBorder="1"/>
    <xf numFmtId="2" fontId="31" fillId="0" borderId="0" xfId="0" applyNumberFormat="1" applyFont="1"/>
    <xf numFmtId="2" fontId="21" fillId="3" borderId="6" xfId="0" applyNumberFormat="1" applyFont="1" applyFill="1" applyBorder="1" applyAlignment="1">
      <alignment horizontal="right" vertical="center"/>
    </xf>
    <xf numFmtId="2" fontId="31" fillId="3" borderId="0" xfId="0" applyNumberFormat="1" applyFont="1" applyFill="1"/>
    <xf numFmtId="0" fontId="9" fillId="0" borderId="0" xfId="15"/>
    <xf numFmtId="0" fontId="29" fillId="0" borderId="3" xfId="15" applyFont="1" applyFill="1" applyBorder="1" applyAlignment="1">
      <alignment vertical="center" wrapText="1"/>
    </xf>
    <xf numFmtId="0" fontId="29" fillId="0" borderId="3" xfId="15" applyFont="1" applyFill="1" applyBorder="1" applyAlignment="1">
      <alignment horizontal="right" vertical="center" wrapText="1"/>
    </xf>
    <xf numFmtId="0" fontId="29" fillId="5" borderId="3" xfId="15" applyFont="1" applyFill="1" applyBorder="1" applyAlignment="1">
      <alignment horizontal="right" vertical="center" wrapText="1"/>
    </xf>
    <xf numFmtId="0" fontId="38" fillId="0" borderId="3" xfId="15" applyFont="1" applyBorder="1" applyAlignment="1">
      <alignment horizontal="center" vertical="center" wrapText="1"/>
    </xf>
    <xf numFmtId="0" fontId="38" fillId="0" borderId="3" xfId="15" applyFont="1" applyBorder="1" applyAlignment="1">
      <alignment horizontal="center" vertical="center"/>
    </xf>
    <xf numFmtId="0" fontId="23" fillId="0" borderId="3" xfId="15" applyFont="1" applyFill="1" applyBorder="1" applyAlignment="1">
      <alignment vertical="center"/>
    </xf>
    <xf numFmtId="0" fontId="23" fillId="0" borderId="3" xfId="15" applyFont="1" applyFill="1" applyBorder="1" applyAlignment="1">
      <alignment horizontal="center" vertical="center" wrapText="1"/>
    </xf>
    <xf numFmtId="0" fontId="23" fillId="0" borderId="3" xfId="15" applyFont="1" applyFill="1" applyBorder="1" applyAlignment="1">
      <alignment horizontal="right" vertical="center" wrapText="1"/>
    </xf>
    <xf numFmtId="171" fontId="23" fillId="0" borderId="3" xfId="15" applyNumberFormat="1" applyFont="1" applyFill="1" applyBorder="1" applyAlignment="1">
      <alignment horizontal="right" vertical="center" wrapText="1"/>
    </xf>
    <xf numFmtId="0" fontId="9" fillId="0" borderId="0" xfId="15" applyFont="1"/>
    <xf numFmtId="0" fontId="40" fillId="6" borderId="3" xfId="15" applyFont="1" applyFill="1" applyBorder="1" applyAlignment="1">
      <alignment horizontal="left" vertical="center"/>
    </xf>
    <xf numFmtId="0" fontId="41" fillId="6" borderId="3" xfId="15" applyFont="1" applyFill="1" applyBorder="1" applyAlignment="1">
      <alignment horizontal="left" vertical="center"/>
    </xf>
    <xf numFmtId="0" fontId="30" fillId="6" borderId="3" xfId="15" applyFont="1" applyFill="1" applyBorder="1" applyAlignment="1">
      <alignment vertical="center"/>
    </xf>
    <xf numFmtId="171" fontId="30" fillId="6" borderId="3" xfId="15" applyNumberFormat="1" applyFont="1" applyFill="1" applyBorder="1" applyAlignment="1">
      <alignment horizontal="right" vertical="center"/>
    </xf>
    <xf numFmtId="1" fontId="42" fillId="6" borderId="3" xfId="15" applyNumberFormat="1" applyFont="1" applyFill="1" applyBorder="1" applyAlignment="1">
      <alignment horizontal="right" vertical="center"/>
    </xf>
    <xf numFmtId="1" fontId="42" fillId="6" borderId="3" xfId="15" applyNumberFormat="1" applyFont="1" applyFill="1" applyBorder="1" applyAlignment="1">
      <alignment horizontal="center" vertical="center"/>
    </xf>
    <xf numFmtId="1" fontId="9" fillId="6" borderId="0" xfId="15" applyNumberFormat="1" applyFill="1"/>
    <xf numFmtId="0" fontId="9" fillId="6" borderId="0" xfId="15" applyFill="1"/>
    <xf numFmtId="1" fontId="42" fillId="6" borderId="0" xfId="15" applyNumberFormat="1" applyFont="1" applyFill="1" applyBorder="1" applyAlignment="1">
      <alignment horizontal="center" vertical="center"/>
    </xf>
    <xf numFmtId="0" fontId="43" fillId="0" borderId="3" xfId="15" applyFont="1" applyBorder="1" applyAlignment="1">
      <alignment horizontal="left" vertical="center"/>
    </xf>
    <xf numFmtId="171" fontId="44" fillId="0" borderId="3" xfId="15" applyNumberFormat="1" applyFont="1" applyFill="1" applyBorder="1" applyAlignment="1">
      <alignment horizontal="left" vertical="center"/>
    </xf>
    <xf numFmtId="2" fontId="45" fillId="0" borderId="3" xfId="15" applyNumberFormat="1" applyFont="1" applyBorder="1" applyAlignment="1">
      <alignment horizontal="center" vertical="center"/>
    </xf>
    <xf numFmtId="2" fontId="9" fillId="0" borderId="0" xfId="15" applyNumberFormat="1"/>
    <xf numFmtId="0" fontId="40" fillId="0" borderId="3" xfId="15" applyFont="1" applyBorder="1" applyAlignment="1">
      <alignment horizontal="left" vertical="center"/>
    </xf>
    <xf numFmtId="0" fontId="40" fillId="0" borderId="3" xfId="15" applyFont="1" applyBorder="1" applyAlignment="1">
      <alignment horizontal="center" vertical="center"/>
    </xf>
    <xf numFmtId="171" fontId="46" fillId="0" borderId="0" xfId="15" applyNumberFormat="1" applyFont="1" applyBorder="1" applyAlignment="1">
      <alignment vertical="center"/>
    </xf>
    <xf numFmtId="171" fontId="46" fillId="0" borderId="0" xfId="15" applyNumberFormat="1" applyFont="1" applyBorder="1" applyAlignment="1">
      <alignment horizontal="right" vertical="center"/>
    </xf>
    <xf numFmtId="4" fontId="46" fillId="0" borderId="0" xfId="15" applyNumberFormat="1" applyFont="1" applyBorder="1" applyAlignment="1">
      <alignment horizontal="right" vertical="center"/>
    </xf>
    <xf numFmtId="0" fontId="46" fillId="0" borderId="0" xfId="15" applyFont="1" applyBorder="1" applyAlignment="1">
      <alignment vertical="center"/>
    </xf>
    <xf numFmtId="2" fontId="46" fillId="0" borderId="0" xfId="15" applyNumberFormat="1" applyFont="1" applyBorder="1" applyAlignment="1">
      <alignment horizontal="right" vertical="center"/>
    </xf>
    <xf numFmtId="172" fontId="46" fillId="0" borderId="0" xfId="15" applyNumberFormat="1" applyFont="1" applyBorder="1" applyAlignment="1">
      <alignment horizontal="right" vertical="center"/>
    </xf>
    <xf numFmtId="0" fontId="22" fillId="0" borderId="0" xfId="15" applyFont="1"/>
    <xf numFmtId="0" fontId="18" fillId="7" borderId="0" xfId="15" applyFont="1" applyFill="1" applyAlignment="1"/>
    <xf numFmtId="2" fontId="46" fillId="0" borderId="0" xfId="15" applyNumberFormat="1" applyFont="1" applyBorder="1" applyAlignment="1">
      <alignment vertical="center"/>
    </xf>
    <xf numFmtId="173" fontId="18" fillId="0" borderId="0" xfId="15" applyNumberFormat="1" applyFont="1" applyFill="1" applyBorder="1" applyAlignment="1">
      <alignment horizontal="center" vertical="center"/>
    </xf>
    <xf numFmtId="0" fontId="18" fillId="7" borderId="0" xfId="15" applyFont="1" applyFill="1" applyAlignment="1">
      <alignment horizontal="left"/>
    </xf>
    <xf numFmtId="0" fontId="46" fillId="0" borderId="0" xfId="15" applyFont="1" applyBorder="1" applyAlignment="1">
      <alignment horizontal="right" vertical="center"/>
    </xf>
    <xf numFmtId="0" fontId="47" fillId="0" borderId="0" xfId="15" applyFont="1" applyAlignment="1">
      <alignment horizontal="left" vertical="center"/>
    </xf>
    <xf numFmtId="0" fontId="47" fillId="0" borderId="0" xfId="15" applyFont="1" applyAlignment="1">
      <alignment vertical="center"/>
    </xf>
    <xf numFmtId="1" fontId="48" fillId="0" borderId="0" xfId="15" applyNumberFormat="1" applyFont="1" applyBorder="1" applyAlignment="1">
      <alignment horizontal="right" vertical="center"/>
    </xf>
    <xf numFmtId="171" fontId="47" fillId="0" borderId="0" xfId="15" applyNumberFormat="1" applyFont="1" applyAlignment="1">
      <alignment vertical="center"/>
    </xf>
    <xf numFmtId="0" fontId="9" fillId="0" borderId="0" xfId="15" applyAlignment="1"/>
    <xf numFmtId="0" fontId="49" fillId="0" borderId="0" xfId="15" applyFont="1" applyAlignment="1">
      <alignment vertical="center"/>
    </xf>
    <xf numFmtId="171" fontId="47" fillId="0" borderId="0" xfId="15" applyNumberFormat="1" applyFont="1" applyAlignment="1">
      <alignment horizontal="right" vertical="center"/>
    </xf>
    <xf numFmtId="168" fontId="28" fillId="0" borderId="45" xfId="5" quotePrefix="1" applyNumberFormat="1" applyFont="1" applyFill="1" applyBorder="1" applyAlignment="1" applyProtection="1">
      <alignment horizontal="right" vertical="center"/>
    </xf>
    <xf numFmtId="168" fontId="24" fillId="0" borderId="25" xfId="5" applyNumberFormat="1" applyFont="1" applyFill="1" applyBorder="1" applyAlignment="1">
      <alignment vertical="center"/>
    </xf>
    <xf numFmtId="168" fontId="25" fillId="0" borderId="25" xfId="5" applyNumberFormat="1" applyFont="1" applyFill="1" applyBorder="1" applyAlignment="1">
      <alignment vertical="center"/>
    </xf>
    <xf numFmtId="168" fontId="25" fillId="0" borderId="26" xfId="5" applyNumberFormat="1" applyFont="1" applyFill="1" applyBorder="1" applyAlignment="1">
      <alignment vertical="center"/>
    </xf>
    <xf numFmtId="2" fontId="69" fillId="0" borderId="3" xfId="11" applyNumberFormat="1" applyFont="1" applyBorder="1"/>
    <xf numFmtId="2" fontId="70" fillId="0" borderId="3" xfId="0" applyNumberFormat="1" applyFont="1" applyFill="1" applyBorder="1" applyAlignment="1">
      <alignment horizontal="right" vertical="center" wrapText="1"/>
    </xf>
    <xf numFmtId="2" fontId="70" fillId="3" borderId="6" xfId="0" applyNumberFormat="1" applyFont="1" applyFill="1" applyBorder="1" applyAlignment="1">
      <alignment horizontal="right" vertical="center"/>
    </xf>
    <xf numFmtId="2" fontId="70" fillId="0" borderId="6" xfId="0" applyNumberFormat="1" applyFont="1" applyFill="1" applyBorder="1" applyAlignment="1">
      <alignment horizontal="right" vertical="center"/>
    </xf>
    <xf numFmtId="2" fontId="70" fillId="3" borderId="3" xfId="0" applyNumberFormat="1" applyFont="1" applyFill="1" applyBorder="1" applyAlignment="1">
      <alignment horizontal="right" vertical="center"/>
    </xf>
    <xf numFmtId="1" fontId="19" fillId="0" borderId="24" xfId="0" applyNumberFormat="1" applyFont="1" applyFill="1" applyBorder="1" applyAlignment="1">
      <alignment horizontal="center" vertical="center" wrapText="1"/>
    </xf>
    <xf numFmtId="1" fontId="19" fillId="0" borderId="25" xfId="0" applyNumberFormat="1" applyFont="1" applyFill="1" applyBorder="1" applyAlignment="1">
      <alignment horizontal="center" vertical="center" wrapText="1"/>
    </xf>
    <xf numFmtId="1" fontId="21" fillId="0" borderId="25" xfId="0" applyNumberFormat="1" applyFont="1" applyFill="1" applyBorder="1" applyAlignment="1" applyProtection="1">
      <alignment horizontal="center" vertical="center"/>
    </xf>
    <xf numFmtId="1" fontId="21" fillId="0" borderId="27" xfId="0" applyNumberFormat="1" applyFont="1" applyFill="1" applyBorder="1" applyAlignment="1" applyProtection="1">
      <alignment horizontal="center" vertical="center"/>
    </xf>
    <xf numFmtId="1" fontId="21" fillId="0" borderId="45" xfId="0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 applyProtection="1">
      <alignment horizontal="center" vertical="center"/>
    </xf>
    <xf numFmtId="1" fontId="21" fillId="0" borderId="0" xfId="0" applyNumberFormat="1" applyFont="1" applyFill="1" applyBorder="1" applyAlignment="1" applyProtection="1">
      <alignment horizontal="center" vertical="center"/>
    </xf>
    <xf numFmtId="1" fontId="21" fillId="0" borderId="54" xfId="0" applyNumberFormat="1" applyFont="1" applyFill="1" applyBorder="1" applyAlignment="1" applyProtection="1">
      <alignment horizontal="center" vertical="center"/>
    </xf>
    <xf numFmtId="1" fontId="21" fillId="0" borderId="24" xfId="0" applyNumberFormat="1" applyFont="1" applyFill="1" applyBorder="1" applyAlignment="1" applyProtection="1">
      <alignment horizontal="center" vertical="center"/>
    </xf>
    <xf numFmtId="1" fontId="21" fillId="0" borderId="26" xfId="0" applyNumberFormat="1" applyFont="1" applyFill="1" applyBorder="1" applyAlignment="1" applyProtection="1">
      <alignment horizontal="center" vertical="center"/>
    </xf>
    <xf numFmtId="1" fontId="21" fillId="0" borderId="55" xfId="0" applyNumberFormat="1" applyFont="1" applyFill="1" applyBorder="1" applyAlignment="1" applyProtection="1">
      <alignment horizontal="center" vertical="center"/>
    </xf>
    <xf numFmtId="1" fontId="21" fillId="0" borderId="56" xfId="0" applyNumberFormat="1" applyFont="1" applyFill="1" applyBorder="1" applyAlignment="1" applyProtection="1">
      <alignment horizontal="center" vertical="center"/>
    </xf>
    <xf numFmtId="1" fontId="21" fillId="0" borderId="2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/>
    <xf numFmtId="0" fontId="17" fillId="0" borderId="15" xfId="0" applyFont="1" applyFill="1" applyBorder="1"/>
    <xf numFmtId="1" fontId="21" fillId="0" borderId="25" xfId="0" applyNumberFormat="1" applyFont="1" applyFill="1" applyBorder="1" applyAlignment="1" applyProtection="1">
      <alignment horizontal="center" vertical="center" wrapText="1"/>
    </xf>
    <xf numFmtId="1" fontId="17" fillId="0" borderId="0" xfId="0" applyNumberFormat="1" applyFont="1"/>
    <xf numFmtId="4" fontId="0" fillId="0" borderId="0" xfId="0" applyNumberFormat="1"/>
    <xf numFmtId="0" fontId="8" fillId="0" borderId="0" xfId="4" applyFont="1"/>
    <xf numFmtId="2" fontId="14" fillId="0" borderId="0" xfId="4" applyNumberFormat="1"/>
    <xf numFmtId="0" fontId="0" fillId="3" borderId="0" xfId="0" applyFill="1"/>
    <xf numFmtId="0" fontId="71" fillId="0" borderId="37" xfId="0" applyFont="1" applyFill="1" applyBorder="1" applyAlignment="1">
      <alignment vertical="center"/>
    </xf>
    <xf numFmtId="0" fontId="71" fillId="0" borderId="25" xfId="0" applyFont="1" applyFill="1" applyBorder="1" applyAlignment="1">
      <alignment vertical="center"/>
    </xf>
    <xf numFmtId="0" fontId="72" fillId="0" borderId="0" xfId="0" applyFont="1" applyFill="1" applyAlignment="1">
      <alignment vertical="center"/>
    </xf>
    <xf numFmtId="0" fontId="71" fillId="0" borderId="4" xfId="0" applyFont="1" applyFill="1" applyBorder="1" applyAlignment="1">
      <alignment vertical="center"/>
    </xf>
    <xf numFmtId="0" fontId="71" fillId="0" borderId="0" xfId="0" applyFont="1" applyFill="1" applyBorder="1" applyAlignment="1">
      <alignment vertical="center"/>
    </xf>
    <xf numFmtId="0" fontId="73" fillId="0" borderId="31" xfId="0" applyFont="1" applyFill="1" applyBorder="1" applyAlignment="1">
      <alignment horizontal="right" vertical="center"/>
    </xf>
    <xf numFmtId="0" fontId="73" fillId="0" borderId="25" xfId="0" applyFont="1" applyFill="1" applyBorder="1" applyAlignment="1">
      <alignment horizontal="center" vertical="center"/>
    </xf>
    <xf numFmtId="0" fontId="73" fillId="0" borderId="3" xfId="0" applyFont="1" applyFill="1" applyBorder="1" applyAlignment="1">
      <alignment horizontal="center" vertical="center"/>
    </xf>
    <xf numFmtId="0" fontId="73" fillId="0" borderId="37" xfId="0" applyFont="1" applyFill="1" applyBorder="1" applyAlignment="1">
      <alignment vertical="center"/>
    </xf>
    <xf numFmtId="0" fontId="73" fillId="0" borderId="25" xfId="0" applyFont="1" applyFill="1" applyBorder="1" applyAlignment="1">
      <alignment vertical="center"/>
    </xf>
    <xf numFmtId="0" fontId="73" fillId="0" borderId="4" xfId="0" applyFont="1" applyFill="1" applyBorder="1" applyAlignment="1">
      <alignment vertical="center"/>
    </xf>
    <xf numFmtId="0" fontId="73" fillId="0" borderId="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vertical="center"/>
    </xf>
    <xf numFmtId="0" fontId="73" fillId="0" borderId="8" xfId="0" applyFont="1" applyFill="1" applyBorder="1" applyAlignment="1">
      <alignment vertical="center" wrapText="1"/>
    </xf>
    <xf numFmtId="0" fontId="73" fillId="0" borderId="9" xfId="0" applyFont="1" applyFill="1" applyBorder="1" applyAlignment="1">
      <alignment horizontal="center" vertical="center" wrapText="1"/>
    </xf>
    <xf numFmtId="0" fontId="73" fillId="0" borderId="9" xfId="0" applyFont="1" applyFill="1" applyBorder="1" applyAlignment="1">
      <alignment vertical="center" wrapText="1"/>
    </xf>
    <xf numFmtId="0" fontId="73" fillId="0" borderId="48" xfId="0" applyFont="1" applyFill="1" applyBorder="1" applyAlignment="1">
      <alignment vertical="center" wrapText="1"/>
    </xf>
    <xf numFmtId="0" fontId="73" fillId="0" borderId="10" xfId="0" applyFont="1" applyFill="1" applyBorder="1" applyAlignment="1">
      <alignment vertical="center" wrapText="1"/>
    </xf>
    <xf numFmtId="0" fontId="73" fillId="0" borderId="11" xfId="0" applyFont="1" applyFill="1" applyBorder="1" applyAlignment="1">
      <alignment vertical="center"/>
    </xf>
    <xf numFmtId="0" fontId="73" fillId="0" borderId="12" xfId="0" applyFont="1" applyFill="1" applyBorder="1" applyAlignment="1">
      <alignment horizontal="center" vertical="center" wrapText="1"/>
    </xf>
    <xf numFmtId="0" fontId="73" fillId="0" borderId="12" xfId="0" applyFont="1" applyFill="1" applyBorder="1" applyAlignment="1">
      <alignment vertical="center" wrapText="1"/>
    </xf>
    <xf numFmtId="0" fontId="73" fillId="0" borderId="13" xfId="0" applyFont="1" applyFill="1" applyBorder="1" applyAlignment="1">
      <alignment horizontal="center" vertical="center" wrapText="1"/>
    </xf>
    <xf numFmtId="0" fontId="75" fillId="0" borderId="25" xfId="0" applyFont="1" applyFill="1" applyBorder="1" applyAlignment="1">
      <alignment horizontal="center" vertical="center" wrapText="1"/>
    </xf>
    <xf numFmtId="0" fontId="75" fillId="0" borderId="3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 applyProtection="1">
      <alignment vertical="center"/>
    </xf>
    <xf numFmtId="0" fontId="76" fillId="0" borderId="3" xfId="0" applyFont="1" applyFill="1" applyBorder="1" applyAlignment="1">
      <alignment horizontal="center" vertical="center"/>
    </xf>
    <xf numFmtId="0" fontId="76" fillId="0" borderId="3" xfId="0" applyFont="1" applyFill="1" applyBorder="1" applyAlignment="1">
      <alignment vertical="center"/>
    </xf>
    <xf numFmtId="0" fontId="73" fillId="0" borderId="3" xfId="0" applyFont="1" applyFill="1" applyBorder="1" applyAlignment="1">
      <alignment vertical="center" wrapText="1"/>
    </xf>
    <xf numFmtId="175" fontId="73" fillId="0" borderId="7" xfId="0" applyNumberFormat="1" applyFont="1" applyFill="1" applyBorder="1" applyAlignment="1" applyProtection="1">
      <alignment horizontal="left" vertical="center"/>
    </xf>
    <xf numFmtId="175" fontId="77" fillId="0" borderId="25" xfId="0" applyNumberFormat="1" applyFont="1" applyFill="1" applyBorder="1" applyAlignment="1" applyProtection="1">
      <alignment horizontal="left" vertical="center"/>
    </xf>
    <xf numFmtId="175" fontId="77" fillId="0" borderId="3" xfId="0" applyNumberFormat="1" applyFont="1" applyFill="1" applyBorder="1" applyAlignment="1" applyProtection="1">
      <alignment horizontal="left" vertical="center"/>
    </xf>
    <xf numFmtId="0" fontId="76" fillId="0" borderId="5" xfId="0" quotePrefix="1" applyFont="1" applyFill="1" applyBorder="1" applyAlignment="1" applyProtection="1">
      <alignment vertical="center"/>
    </xf>
    <xf numFmtId="176" fontId="76" fillId="0" borderId="3" xfId="0" applyNumberFormat="1" applyFont="1" applyFill="1" applyBorder="1" applyAlignment="1" applyProtection="1">
      <alignment horizontal="center" vertical="center"/>
    </xf>
    <xf numFmtId="2" fontId="76" fillId="0" borderId="3" xfId="0" applyNumberFormat="1" applyFont="1" applyFill="1" applyBorder="1" applyAlignment="1" applyProtection="1">
      <alignment vertical="center"/>
    </xf>
    <xf numFmtId="2" fontId="76" fillId="0" borderId="3" xfId="0" applyNumberFormat="1" applyFont="1" applyFill="1" applyBorder="1" applyAlignment="1" applyProtection="1">
      <alignment horizontal="right" vertical="center" indent="1"/>
    </xf>
    <xf numFmtId="2" fontId="76" fillId="0" borderId="7" xfId="0" applyNumberFormat="1" applyFont="1" applyFill="1" applyBorder="1" applyAlignment="1" applyProtection="1">
      <alignment horizontal="right" vertical="center" indent="1"/>
    </xf>
    <xf numFmtId="2" fontId="72" fillId="0" borderId="25" xfId="0" applyNumberFormat="1" applyFont="1" applyFill="1" applyBorder="1" applyAlignment="1" applyProtection="1">
      <alignment horizontal="right" vertical="center" indent="1"/>
    </xf>
    <xf numFmtId="2" fontId="72" fillId="0" borderId="3" xfId="0" applyNumberFormat="1" applyFont="1" applyFill="1" applyBorder="1" applyAlignment="1" applyProtection="1">
      <alignment horizontal="right" vertical="center" indent="1"/>
    </xf>
    <xf numFmtId="10" fontId="72" fillId="0" borderId="3" xfId="7" applyNumberFormat="1" applyFont="1" applyFill="1" applyBorder="1" applyAlignment="1" applyProtection="1">
      <alignment horizontal="right" vertical="center" indent="1"/>
    </xf>
    <xf numFmtId="2" fontId="72" fillId="0" borderId="0" xfId="0" applyNumberFormat="1" applyFont="1" applyFill="1" applyAlignment="1">
      <alignment vertical="center"/>
    </xf>
    <xf numFmtId="0" fontId="76" fillId="0" borderId="5" xfId="0" applyFont="1" applyFill="1" applyBorder="1" applyAlignment="1" applyProtection="1">
      <alignment vertical="center"/>
    </xf>
    <xf numFmtId="0" fontId="73" fillId="0" borderId="5" xfId="0" quotePrefix="1" applyFont="1" applyFill="1" applyBorder="1" applyAlignment="1" applyProtection="1">
      <alignment horizontal="right" vertical="center"/>
    </xf>
    <xf numFmtId="176" fontId="73" fillId="0" borderId="3" xfId="0" applyNumberFormat="1" applyFont="1" applyFill="1" applyBorder="1" applyAlignment="1" applyProtection="1">
      <alignment horizontal="center" vertical="center"/>
    </xf>
    <xf numFmtId="2" fontId="73" fillId="0" borderId="3" xfId="0" applyNumberFormat="1" applyFont="1" applyFill="1" applyBorder="1" applyAlignment="1" applyProtection="1">
      <alignment vertical="center"/>
    </xf>
    <xf numFmtId="2" fontId="73" fillId="0" borderId="3" xfId="0" applyNumberFormat="1" applyFont="1" applyFill="1" applyBorder="1" applyAlignment="1" applyProtection="1">
      <alignment horizontal="right" vertical="center" indent="1"/>
    </xf>
    <xf numFmtId="2" fontId="73" fillId="0" borderId="7" xfId="0" applyNumberFormat="1" applyFont="1" applyFill="1" applyBorder="1" applyAlignment="1" applyProtection="1">
      <alignment horizontal="right" vertical="center" indent="1"/>
    </xf>
    <xf numFmtId="2" fontId="74" fillId="0" borderId="25" xfId="0" applyNumberFormat="1" applyFont="1" applyFill="1" applyBorder="1" applyAlignment="1" applyProtection="1">
      <alignment horizontal="right" vertical="center" indent="1"/>
    </xf>
    <xf numFmtId="2" fontId="74" fillId="0" borderId="3" xfId="0" applyNumberFormat="1" applyFont="1" applyFill="1" applyBorder="1" applyAlignment="1" applyProtection="1">
      <alignment horizontal="right" vertical="center" indent="1"/>
    </xf>
    <xf numFmtId="177" fontId="76" fillId="0" borderId="3" xfId="0" applyNumberFormat="1" applyFont="1" applyFill="1" applyBorder="1" applyAlignment="1" applyProtection="1">
      <alignment vertical="center"/>
    </xf>
    <xf numFmtId="176" fontId="76" fillId="0" borderId="3" xfId="0" applyNumberFormat="1" applyFont="1" applyFill="1" applyBorder="1" applyAlignment="1" applyProtection="1">
      <alignment vertical="center"/>
    </xf>
    <xf numFmtId="176" fontId="76" fillId="0" borderId="3" xfId="0" applyNumberFormat="1" applyFont="1" applyFill="1" applyBorder="1" applyAlignment="1" applyProtection="1">
      <alignment horizontal="right" vertical="center"/>
    </xf>
    <xf numFmtId="2" fontId="77" fillId="0" borderId="25" xfId="0" applyNumberFormat="1" applyFont="1" applyFill="1" applyBorder="1" applyAlignment="1" applyProtection="1">
      <alignment horizontal="right" vertical="center" indent="1"/>
    </xf>
    <xf numFmtId="2" fontId="77" fillId="0" borderId="3" xfId="0" applyNumberFormat="1" applyFont="1" applyFill="1" applyBorder="1" applyAlignment="1" applyProtection="1">
      <alignment horizontal="right" vertical="center" indent="1"/>
    </xf>
    <xf numFmtId="177" fontId="72" fillId="0" borderId="25" xfId="0" applyNumberFormat="1" applyFont="1" applyFill="1" applyBorder="1" applyAlignment="1" applyProtection="1">
      <alignment horizontal="right" vertical="center"/>
    </xf>
    <xf numFmtId="177" fontId="72" fillId="0" borderId="3" xfId="0" applyNumberFormat="1" applyFont="1" applyFill="1" applyBorder="1" applyAlignment="1" applyProtection="1">
      <alignment horizontal="right" vertical="center"/>
    </xf>
    <xf numFmtId="2" fontId="78" fillId="0" borderId="0" xfId="0" applyNumberFormat="1" applyFont="1" applyFill="1" applyAlignment="1">
      <alignment vertical="center"/>
    </xf>
    <xf numFmtId="0" fontId="78" fillId="0" borderId="0" xfId="0" applyFont="1" applyFill="1" applyAlignment="1">
      <alignment vertical="center"/>
    </xf>
    <xf numFmtId="10" fontId="72" fillId="0" borderId="0" xfId="7" applyNumberFormat="1" applyFont="1" applyFill="1" applyAlignment="1">
      <alignment vertical="center"/>
    </xf>
    <xf numFmtId="2" fontId="79" fillId="0" borderId="3" xfId="0" applyNumberFormat="1" applyFont="1" applyFill="1" applyBorder="1" applyAlignment="1" applyProtection="1">
      <alignment horizontal="right" vertical="center" indent="1"/>
    </xf>
    <xf numFmtId="0" fontId="73" fillId="0" borderId="5" xfId="0" applyFont="1" applyFill="1" applyBorder="1" applyAlignment="1" applyProtection="1">
      <alignment horizontal="right" vertical="center"/>
    </xf>
    <xf numFmtId="0" fontId="73" fillId="0" borderId="5" xfId="0" quotePrefix="1" applyFont="1" applyFill="1" applyBorder="1" applyAlignment="1" applyProtection="1">
      <alignment vertical="center"/>
    </xf>
    <xf numFmtId="2" fontId="76" fillId="0" borderId="3" xfId="16" applyNumberFormat="1" applyFont="1" applyFill="1" applyBorder="1" applyAlignment="1" applyProtection="1">
      <alignment horizontal="right" vertical="center" indent="1"/>
    </xf>
    <xf numFmtId="177" fontId="76" fillId="0" borderId="3" xfId="16" applyNumberFormat="1" applyFont="1" applyFill="1" applyBorder="1" applyAlignment="1" applyProtection="1">
      <alignment vertical="center"/>
    </xf>
    <xf numFmtId="2" fontId="76" fillId="0" borderId="3" xfId="16" applyNumberFormat="1" applyFont="1" applyFill="1" applyBorder="1" applyAlignment="1" applyProtection="1">
      <alignment vertical="center"/>
    </xf>
    <xf numFmtId="2" fontId="76" fillId="0" borderId="7" xfId="16" applyNumberFormat="1" applyFont="1" applyFill="1" applyBorder="1" applyAlignment="1" applyProtection="1">
      <alignment horizontal="right" vertical="center" indent="1"/>
    </xf>
    <xf numFmtId="2" fontId="72" fillId="0" borderId="25" xfId="16" applyNumberFormat="1" applyFont="1" applyFill="1" applyBorder="1" applyAlignment="1" applyProtection="1">
      <alignment horizontal="right" vertical="center" indent="1"/>
    </xf>
    <xf numFmtId="2" fontId="72" fillId="0" borderId="3" xfId="16" applyNumberFormat="1" applyFont="1" applyFill="1" applyBorder="1" applyAlignment="1" applyProtection="1">
      <alignment horizontal="right" vertical="center" indent="1"/>
    </xf>
    <xf numFmtId="0" fontId="73" fillId="0" borderId="5" xfId="0" applyFont="1" applyFill="1" applyBorder="1" applyAlignment="1">
      <alignment wrapText="1"/>
    </xf>
    <xf numFmtId="1" fontId="76" fillId="0" borderId="3" xfId="16" applyNumberFormat="1" applyFont="1" applyFill="1" applyBorder="1" applyAlignment="1" applyProtection="1">
      <alignment vertical="center"/>
    </xf>
    <xf numFmtId="1" fontId="76" fillId="0" borderId="3" xfId="16" applyNumberFormat="1" applyFont="1" applyFill="1" applyBorder="1" applyAlignment="1" applyProtection="1">
      <alignment horizontal="right" vertical="center" indent="1"/>
    </xf>
    <xf numFmtId="1" fontId="76" fillId="0" borderId="7" xfId="16" applyNumberFormat="1" applyFont="1" applyFill="1" applyBorder="1" applyAlignment="1" applyProtection="1">
      <alignment horizontal="right" vertical="center" indent="1"/>
    </xf>
    <xf numFmtId="2" fontId="73" fillId="0" borderId="3" xfId="7" applyNumberFormat="1" applyFont="1" applyFill="1" applyBorder="1" applyAlignment="1" applyProtection="1">
      <alignment vertical="center"/>
    </xf>
    <xf numFmtId="2" fontId="73" fillId="0" borderId="3" xfId="7" applyNumberFormat="1" applyFont="1" applyFill="1" applyBorder="1" applyAlignment="1" applyProtection="1">
      <alignment horizontal="right" vertical="center" indent="1"/>
    </xf>
    <xf numFmtId="2" fontId="73" fillId="0" borderId="7" xfId="7" applyNumberFormat="1" applyFont="1" applyFill="1" applyBorder="1" applyAlignment="1" applyProtection="1">
      <alignment horizontal="right" vertical="center" indent="1"/>
    </xf>
    <xf numFmtId="10" fontId="74" fillId="0" borderId="25" xfId="0" applyNumberFormat="1" applyFont="1" applyFill="1" applyBorder="1" applyAlignment="1" applyProtection="1">
      <alignment horizontal="right" vertical="center" indent="1"/>
    </xf>
    <xf numFmtId="10" fontId="74" fillId="0" borderId="3" xfId="0" applyNumberFormat="1" applyFont="1" applyFill="1" applyBorder="1" applyAlignment="1" applyProtection="1">
      <alignment horizontal="right" vertical="center" indent="1"/>
    </xf>
    <xf numFmtId="2" fontId="80" fillId="0" borderId="3" xfId="0" applyNumberFormat="1" applyFont="1" applyFill="1" applyBorder="1" applyAlignment="1" applyProtection="1">
      <alignment vertical="center"/>
    </xf>
    <xf numFmtId="0" fontId="73" fillId="0" borderId="22" xfId="0" applyFont="1" applyFill="1" applyBorder="1" applyAlignment="1">
      <alignment wrapText="1"/>
    </xf>
    <xf numFmtId="2" fontId="76" fillId="0" borderId="18" xfId="16" applyNumberFormat="1" applyFont="1" applyFill="1" applyBorder="1" applyAlignment="1" applyProtection="1">
      <alignment horizontal="right" vertical="center" indent="1"/>
    </xf>
    <xf numFmtId="2" fontId="76" fillId="0" borderId="18" xfId="0" applyNumberFormat="1" applyFont="1" applyFill="1" applyBorder="1" applyAlignment="1" applyProtection="1">
      <alignment vertical="center"/>
    </xf>
    <xf numFmtId="2" fontId="76" fillId="0" borderId="18" xfId="16" applyNumberFormat="1" applyFont="1" applyFill="1" applyBorder="1" applyAlignment="1" applyProtection="1">
      <alignment vertical="center"/>
    </xf>
    <xf numFmtId="2" fontId="76" fillId="0" borderId="18" xfId="0" applyNumberFormat="1" applyFont="1" applyFill="1" applyBorder="1" applyAlignment="1" applyProtection="1">
      <alignment horizontal="right" vertical="center" indent="1"/>
    </xf>
    <xf numFmtId="2" fontId="76" fillId="0" borderId="19" xfId="0" applyNumberFormat="1" applyFont="1" applyFill="1" applyBorder="1" applyAlignment="1" applyProtection="1">
      <alignment horizontal="right" vertical="center" indent="1"/>
    </xf>
    <xf numFmtId="0" fontId="72" fillId="3" borderId="0" xfId="0" applyFont="1" applyFill="1" applyAlignment="1">
      <alignment vertical="center"/>
    </xf>
    <xf numFmtId="2" fontId="76" fillId="3" borderId="3" xfId="0" applyNumberFormat="1" applyFont="1" applyFill="1" applyBorder="1" applyAlignment="1" applyProtection="1">
      <alignment vertical="center"/>
    </xf>
    <xf numFmtId="0" fontId="7" fillId="0" borderId="0" xfId="4" applyFont="1"/>
    <xf numFmtId="2" fontId="57" fillId="0" borderId="3" xfId="0" applyNumberFormat="1" applyFont="1" applyFill="1" applyBorder="1" applyAlignment="1">
      <alignment horizontal="right" vertical="center"/>
    </xf>
    <xf numFmtId="0" fontId="7" fillId="0" borderId="0" xfId="17"/>
    <xf numFmtId="0" fontId="29" fillId="0" borderId="3" xfId="17" applyFont="1" applyFill="1" applyBorder="1" applyAlignment="1">
      <alignment vertical="center" wrapText="1"/>
    </xf>
    <xf numFmtId="0" fontId="29" fillId="0" borderId="3" xfId="17" applyFont="1" applyFill="1" applyBorder="1" applyAlignment="1">
      <alignment horizontal="right" vertical="center" wrapText="1"/>
    </xf>
    <xf numFmtId="0" fontId="29" fillId="5" borderId="3" xfId="17" applyFont="1" applyFill="1" applyBorder="1" applyAlignment="1">
      <alignment horizontal="right" vertical="center" wrapText="1"/>
    </xf>
    <xf numFmtId="0" fontId="38" fillId="0" borderId="3" xfId="17" applyFont="1" applyBorder="1" applyAlignment="1">
      <alignment horizontal="center" vertical="center" wrapText="1"/>
    </xf>
    <xf numFmtId="0" fontId="38" fillId="0" borderId="3" xfId="17" applyFont="1" applyBorder="1" applyAlignment="1">
      <alignment horizontal="center" vertical="center"/>
    </xf>
    <xf numFmtId="0" fontId="23" fillId="0" borderId="3" xfId="17" applyFont="1" applyFill="1" applyBorder="1" applyAlignment="1">
      <alignment vertical="center"/>
    </xf>
    <xf numFmtId="0" fontId="23" fillId="0" borderId="3" xfId="17" applyFont="1" applyFill="1" applyBorder="1" applyAlignment="1">
      <alignment horizontal="center" vertical="center" wrapText="1"/>
    </xf>
    <xf numFmtId="0" fontId="23" fillId="0" borderId="3" xfId="17" applyFont="1" applyFill="1" applyBorder="1" applyAlignment="1">
      <alignment horizontal="right" vertical="center" wrapText="1"/>
    </xf>
    <xf numFmtId="171" fontId="23" fillId="0" borderId="3" xfId="17" applyNumberFormat="1" applyFont="1" applyFill="1" applyBorder="1" applyAlignment="1">
      <alignment horizontal="right" vertical="center" wrapText="1"/>
    </xf>
    <xf numFmtId="0" fontId="7" fillId="0" borderId="0" xfId="17" applyFont="1"/>
    <xf numFmtId="0" fontId="40" fillId="6" borderId="3" xfId="17" applyFont="1" applyFill="1" applyBorder="1" applyAlignment="1">
      <alignment horizontal="left" vertical="center"/>
    </xf>
    <xf numFmtId="0" fontId="41" fillId="6" borderId="3" xfId="17" applyFont="1" applyFill="1" applyBorder="1" applyAlignment="1">
      <alignment horizontal="left" vertical="center"/>
    </xf>
    <xf numFmtId="0" fontId="30" fillId="6" borderId="3" xfId="17" applyFont="1" applyFill="1" applyBorder="1" applyAlignment="1">
      <alignment vertical="center"/>
    </xf>
    <xf numFmtId="171" fontId="30" fillId="6" borderId="3" xfId="17" applyNumberFormat="1" applyFont="1" applyFill="1" applyBorder="1" applyAlignment="1">
      <alignment horizontal="right" vertical="center"/>
    </xf>
    <xf numFmtId="1" fontId="42" fillId="6" borderId="3" xfId="17" applyNumberFormat="1" applyFont="1" applyFill="1" applyBorder="1" applyAlignment="1">
      <alignment horizontal="right" vertical="center"/>
    </xf>
    <xf numFmtId="1" fontId="42" fillId="6" borderId="3" xfId="17" applyNumberFormat="1" applyFont="1" applyFill="1" applyBorder="1" applyAlignment="1">
      <alignment horizontal="center" vertical="center"/>
    </xf>
    <xf numFmtId="1" fontId="7" fillId="6" borderId="0" xfId="17" applyNumberFormat="1" applyFill="1"/>
    <xf numFmtId="0" fontId="7" fillId="6" borderId="0" xfId="17" applyFill="1"/>
    <xf numFmtId="1" fontId="42" fillId="6" borderId="0" xfId="17" applyNumberFormat="1" applyFont="1" applyFill="1" applyBorder="1" applyAlignment="1">
      <alignment horizontal="center" vertical="center"/>
    </xf>
    <xf numFmtId="0" fontId="43" fillId="0" borderId="3" xfId="17" applyFont="1" applyBorder="1" applyAlignment="1">
      <alignment horizontal="left" vertical="center"/>
    </xf>
    <xf numFmtId="171" fontId="44" fillId="0" borderId="3" xfId="17" applyNumberFormat="1" applyFont="1" applyFill="1" applyBorder="1" applyAlignment="1">
      <alignment horizontal="left" vertical="center"/>
    </xf>
    <xf numFmtId="2" fontId="45" fillId="0" borderId="3" xfId="17" applyNumberFormat="1" applyFont="1" applyBorder="1" applyAlignment="1">
      <alignment horizontal="center" vertical="center"/>
    </xf>
    <xf numFmtId="2" fontId="7" fillId="0" borderId="0" xfId="17" applyNumberFormat="1"/>
    <xf numFmtId="0" fontId="40" fillId="0" borderId="3" xfId="17" applyFont="1" applyBorder="1" applyAlignment="1">
      <alignment horizontal="left" vertical="center"/>
    </xf>
    <xf numFmtId="0" fontId="40" fillId="0" borderId="3" xfId="17" applyFont="1" applyBorder="1" applyAlignment="1">
      <alignment horizontal="center" vertical="center"/>
    </xf>
    <xf numFmtId="171" fontId="46" fillId="0" borderId="0" xfId="17" applyNumberFormat="1" applyFont="1" applyBorder="1" applyAlignment="1">
      <alignment vertical="center"/>
    </xf>
    <xf numFmtId="2" fontId="46" fillId="0" borderId="0" xfId="17" applyNumberFormat="1" applyFont="1" applyBorder="1" applyAlignment="1">
      <alignment horizontal="right" vertical="center"/>
    </xf>
    <xf numFmtId="4" fontId="46" fillId="0" borderId="0" xfId="17" applyNumberFormat="1" applyFont="1" applyBorder="1" applyAlignment="1">
      <alignment horizontal="right" vertical="center"/>
    </xf>
    <xf numFmtId="0" fontId="46" fillId="0" borderId="0" xfId="17" applyFont="1" applyBorder="1" applyAlignment="1">
      <alignment vertical="center"/>
    </xf>
    <xf numFmtId="171" fontId="46" fillId="0" borderId="0" xfId="17" applyNumberFormat="1" applyFont="1" applyBorder="1" applyAlignment="1">
      <alignment horizontal="right" vertical="center"/>
    </xf>
    <xf numFmtId="172" fontId="46" fillId="0" borderId="0" xfId="17" applyNumberFormat="1" applyFont="1" applyBorder="1" applyAlignment="1">
      <alignment horizontal="right" vertical="center"/>
    </xf>
    <xf numFmtId="0" fontId="22" fillId="0" borderId="0" xfId="17" applyFont="1"/>
    <xf numFmtId="0" fontId="18" fillId="7" borderId="0" xfId="17" applyFont="1" applyFill="1" applyAlignment="1"/>
    <xf numFmtId="2" fontId="46" fillId="0" borderId="0" xfId="17" applyNumberFormat="1" applyFont="1" applyBorder="1" applyAlignment="1">
      <alignment vertical="center"/>
    </xf>
    <xf numFmtId="173" fontId="18" fillId="0" borderId="0" xfId="17" applyNumberFormat="1" applyFont="1" applyFill="1" applyBorder="1" applyAlignment="1">
      <alignment horizontal="center" vertical="center"/>
    </xf>
    <xf numFmtId="0" fontId="18" fillId="7" borderId="0" xfId="17" applyFont="1" applyFill="1" applyAlignment="1">
      <alignment horizontal="left"/>
    </xf>
    <xf numFmtId="0" fontId="46" fillId="0" borderId="0" xfId="17" applyFont="1" applyBorder="1" applyAlignment="1">
      <alignment horizontal="right" vertical="center"/>
    </xf>
    <xf numFmtId="0" fontId="47" fillId="0" borderId="0" xfId="17" applyFont="1" applyAlignment="1">
      <alignment horizontal="left" vertical="center"/>
    </xf>
    <xf numFmtId="0" fontId="47" fillId="0" borderId="0" xfId="17" applyFont="1" applyAlignment="1">
      <alignment vertical="center"/>
    </xf>
    <xf numFmtId="1" fontId="48" fillId="0" borderId="0" xfId="17" applyNumberFormat="1" applyFont="1" applyBorder="1" applyAlignment="1">
      <alignment horizontal="right" vertical="center"/>
    </xf>
    <xf numFmtId="171" fontId="47" fillId="0" borderId="0" xfId="17" applyNumberFormat="1" applyFont="1" applyAlignment="1">
      <alignment vertical="center"/>
    </xf>
    <xf numFmtId="0" fontId="7" fillId="0" borderId="0" xfId="17" applyAlignment="1"/>
    <xf numFmtId="0" fontId="49" fillId="0" borderId="0" xfId="17" applyFont="1" applyAlignment="1">
      <alignment vertical="center"/>
    </xf>
    <xf numFmtId="171" fontId="47" fillId="0" borderId="0" xfId="17" applyNumberFormat="1" applyFont="1" applyAlignment="1">
      <alignment horizontal="right" vertical="center"/>
    </xf>
    <xf numFmtId="2" fontId="22" fillId="2" borderId="0" xfId="4" applyNumberFormat="1" applyFont="1" applyFill="1"/>
    <xf numFmtId="179" fontId="14" fillId="0" borderId="0" xfId="4" applyNumberFormat="1"/>
    <xf numFmtId="4" fontId="0" fillId="3" borderId="0" xfId="0" applyNumberFormat="1" applyFill="1"/>
    <xf numFmtId="1" fontId="21" fillId="0" borderId="38" xfId="0" applyNumberFormat="1" applyFont="1" applyFill="1" applyBorder="1" applyAlignment="1" applyProtection="1">
      <alignment horizontal="center" vertical="center"/>
    </xf>
    <xf numFmtId="0" fontId="21" fillId="0" borderId="40" xfId="0" applyFont="1" applyFill="1" applyBorder="1" applyAlignment="1" applyProtection="1">
      <alignment horizontal="left" vertical="center"/>
    </xf>
    <xf numFmtId="2" fontId="21" fillId="0" borderId="58" xfId="0" applyNumberFormat="1" applyFont="1" applyFill="1" applyBorder="1" applyAlignment="1">
      <alignment horizontal="right" vertical="center" wrapText="1"/>
    </xf>
    <xf numFmtId="2" fontId="21" fillId="0" borderId="40" xfId="0" applyNumberFormat="1" applyFont="1" applyFill="1" applyBorder="1" applyAlignment="1">
      <alignment horizontal="right" vertical="center" wrapText="1"/>
    </xf>
    <xf numFmtId="2" fontId="33" fillId="0" borderId="40" xfId="0" quotePrefix="1" applyNumberFormat="1" applyFont="1" applyFill="1" applyBorder="1" applyAlignment="1" applyProtection="1">
      <alignment horizontal="right" vertical="center"/>
    </xf>
    <xf numFmtId="2" fontId="19" fillId="0" borderId="10" xfId="0" applyNumberFormat="1" applyFont="1" applyFill="1" applyBorder="1" applyAlignment="1">
      <alignment horizontal="right" vertical="center"/>
    </xf>
    <xf numFmtId="2" fontId="21" fillId="0" borderId="40" xfId="0" applyNumberFormat="1" applyFont="1" applyFill="1" applyBorder="1" applyAlignment="1">
      <alignment horizontal="right" vertical="center"/>
    </xf>
    <xf numFmtId="2" fontId="33" fillId="0" borderId="40" xfId="0" applyNumberFormat="1" applyFont="1" applyFill="1" applyBorder="1" applyAlignment="1">
      <alignment horizontal="right" vertical="center"/>
    </xf>
    <xf numFmtId="0" fontId="19" fillId="0" borderId="9" xfId="0" quotePrefix="1" applyFont="1" applyFill="1" applyBorder="1" applyAlignment="1" applyProtection="1">
      <alignment horizontal="left" vertical="center"/>
    </xf>
    <xf numFmtId="0" fontId="21" fillId="0" borderId="59" xfId="0" quotePrefix="1" applyFont="1" applyFill="1" applyBorder="1" applyAlignment="1" applyProtection="1">
      <alignment horizontal="left" vertical="center"/>
    </xf>
    <xf numFmtId="2" fontId="21" fillId="0" borderId="59" xfId="0" applyNumberFormat="1" applyFont="1" applyFill="1" applyBorder="1" applyAlignment="1">
      <alignment horizontal="right" vertical="center"/>
    </xf>
    <xf numFmtId="1" fontId="19" fillId="0" borderId="11" xfId="0" applyNumberFormat="1" applyFont="1" applyFill="1" applyBorder="1" applyAlignment="1">
      <alignment horizontal="center" vertical="center" wrapText="1"/>
    </xf>
    <xf numFmtId="0" fontId="21" fillId="0" borderId="12" xfId="0" quotePrefix="1" applyFont="1" applyFill="1" applyBorder="1" applyAlignment="1" applyProtection="1">
      <alignment horizontal="left" vertical="center"/>
    </xf>
    <xf numFmtId="1" fontId="19" fillId="0" borderId="12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63" fillId="8" borderId="43" xfId="18" applyFont="1" applyFill="1" applyBorder="1" applyAlignment="1">
      <alignment horizontal="center" vertical="center"/>
    </xf>
    <xf numFmtId="0" fontId="63" fillId="8" borderId="51" xfId="18" applyFont="1" applyFill="1" applyBorder="1" applyAlignment="1">
      <alignment horizontal="center" vertical="center"/>
    </xf>
    <xf numFmtId="0" fontId="63" fillId="8" borderId="51" xfId="18" applyFont="1" applyFill="1" applyBorder="1" applyAlignment="1">
      <alignment horizontal="center" vertical="center" wrapText="1"/>
    </xf>
    <xf numFmtId="0" fontId="6" fillId="0" borderId="0" xfId="18"/>
    <xf numFmtId="0" fontId="62" fillId="0" borderId="52" xfId="18" applyFont="1" applyBorder="1" applyAlignment="1">
      <alignment horizontal="center" vertical="center"/>
    </xf>
    <xf numFmtId="0" fontId="62" fillId="0" borderId="35" xfId="18" applyFont="1" applyBorder="1" applyAlignment="1">
      <alignment vertical="center"/>
    </xf>
    <xf numFmtId="0" fontId="62" fillId="0" borderId="35" xfId="18" applyFont="1" applyBorder="1" applyAlignment="1">
      <alignment horizontal="center" vertical="center"/>
    </xf>
    <xf numFmtId="0" fontId="62" fillId="9" borderId="35" xfId="18" applyFont="1" applyFill="1" applyBorder="1" applyAlignment="1">
      <alignment horizontal="center" vertical="center"/>
    </xf>
    <xf numFmtId="1" fontId="6" fillId="0" borderId="0" xfId="18" applyNumberFormat="1"/>
    <xf numFmtId="2" fontId="62" fillId="0" borderId="35" xfId="18" applyNumberFormat="1" applyFont="1" applyBorder="1" applyAlignment="1">
      <alignment horizontal="center" vertical="center" wrapText="1"/>
    </xf>
    <xf numFmtId="0" fontId="62" fillId="0" borderId="35" xfId="18" applyFont="1" applyBorder="1" applyAlignment="1">
      <alignment vertical="center" wrapText="1"/>
    </xf>
    <xf numFmtId="0" fontId="62" fillId="0" borderId="35" xfId="18" applyFont="1" applyBorder="1" applyAlignment="1">
      <alignment horizontal="center" vertical="center" wrapText="1"/>
    </xf>
    <xf numFmtId="3" fontId="62" fillId="0" borderId="35" xfId="18" applyNumberFormat="1" applyFont="1" applyBorder="1" applyAlignment="1">
      <alignment horizontal="center" vertical="center" wrapText="1"/>
    </xf>
    <xf numFmtId="17" fontId="0" fillId="0" borderId="0" xfId="0" applyNumberFormat="1"/>
    <xf numFmtId="0" fontId="6" fillId="0" borderId="0" xfId="13" applyFont="1"/>
    <xf numFmtId="0" fontId="6" fillId="3" borderId="0" xfId="18" applyFill="1"/>
    <xf numFmtId="0" fontId="81" fillId="9" borderId="35" xfId="0" applyFont="1" applyFill="1" applyBorder="1" applyAlignment="1">
      <alignment horizontal="center" vertical="center" wrapText="1"/>
    </xf>
    <xf numFmtId="0" fontId="81" fillId="9" borderId="3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right" vertical="center" wrapText="1"/>
    </xf>
    <xf numFmtId="2" fontId="6" fillId="0" borderId="0" xfId="18" applyNumberFormat="1"/>
    <xf numFmtId="1" fontId="62" fillId="0" borderId="35" xfId="18" applyNumberFormat="1" applyFont="1" applyFill="1" applyBorder="1" applyAlignment="1">
      <alignment horizontal="center" vertical="center" wrapText="1"/>
    </xf>
    <xf numFmtId="0" fontId="81" fillId="0" borderId="35" xfId="0" applyFont="1" applyFill="1" applyBorder="1" applyAlignment="1">
      <alignment horizontal="center" vertical="center" wrapText="1"/>
    </xf>
    <xf numFmtId="0" fontId="81" fillId="0" borderId="35" xfId="0" applyFont="1" applyFill="1" applyBorder="1" applyAlignment="1">
      <alignment horizontal="center" vertical="center"/>
    </xf>
    <xf numFmtId="2" fontId="62" fillId="0" borderId="35" xfId="18" applyNumberFormat="1" applyFont="1" applyFill="1" applyBorder="1" applyAlignment="1">
      <alignment horizontal="center" vertical="center" wrapText="1"/>
    </xf>
    <xf numFmtId="0" fontId="62" fillId="0" borderId="52" xfId="18" applyFont="1" applyFill="1" applyBorder="1" applyAlignment="1">
      <alignment horizontal="center" vertical="center"/>
    </xf>
    <xf numFmtId="0" fontId="62" fillId="0" borderId="35" xfId="18" applyFont="1" applyFill="1" applyBorder="1" applyAlignment="1">
      <alignment vertical="center" wrapText="1"/>
    </xf>
    <xf numFmtId="0" fontId="62" fillId="0" borderId="53" xfId="18" applyFont="1" applyBorder="1" applyAlignment="1">
      <alignment horizontal="center" vertical="center"/>
    </xf>
    <xf numFmtId="0" fontId="62" fillId="0" borderId="52" xfId="18" applyFont="1" applyBorder="1" applyAlignment="1">
      <alignment horizontal="center" vertical="center"/>
    </xf>
    <xf numFmtId="2" fontId="19" fillId="0" borderId="6" xfId="0" applyNumberFormat="1" applyFont="1" applyFill="1" applyBorder="1" applyAlignment="1">
      <alignment horizontal="right" vertical="center"/>
    </xf>
    <xf numFmtId="2" fontId="21" fillId="0" borderId="61" xfId="0" applyNumberFormat="1" applyFont="1" applyFill="1" applyBorder="1" applyAlignment="1">
      <alignment horizontal="right" vertical="center"/>
    </xf>
    <xf numFmtId="2" fontId="21" fillId="0" borderId="58" xfId="0" applyNumberFormat="1" applyFont="1" applyFill="1" applyBorder="1" applyAlignment="1">
      <alignment horizontal="right" vertical="center"/>
    </xf>
    <xf numFmtId="2" fontId="21" fillId="0" borderId="62" xfId="0" applyNumberFormat="1" applyFont="1" applyFill="1" applyBorder="1" applyAlignment="1">
      <alignment horizontal="right" vertical="center"/>
    </xf>
    <xf numFmtId="0" fontId="24" fillId="0" borderId="0" xfId="19" applyFont="1"/>
    <xf numFmtId="0" fontId="29" fillId="0" borderId="0" xfId="19" applyFont="1" applyAlignment="1">
      <alignment horizontal="center"/>
    </xf>
    <xf numFmtId="0" fontId="29" fillId="0" borderId="0" xfId="19" applyFont="1"/>
    <xf numFmtId="0" fontId="82" fillId="0" borderId="0" xfId="19" applyFont="1" applyAlignment="1">
      <alignment horizontal="center"/>
    </xf>
    <xf numFmtId="0" fontId="83" fillId="0" borderId="0" xfId="19" applyFont="1" applyAlignment="1">
      <alignment horizontal="center"/>
    </xf>
    <xf numFmtId="0" fontId="29" fillId="0" borderId="43" xfId="19" applyFont="1" applyBorder="1" applyAlignment="1">
      <alignment horizontal="center"/>
    </xf>
    <xf numFmtId="0" fontId="29" fillId="0" borderId="43" xfId="19" applyFont="1" applyBorder="1"/>
    <xf numFmtId="0" fontId="29" fillId="0" borderId="17" xfId="19" applyFont="1" applyBorder="1" applyAlignment="1">
      <alignment horizontal="center"/>
    </xf>
    <xf numFmtId="0" fontId="29" fillId="0" borderId="62" xfId="19" applyFont="1" applyBorder="1" applyAlignment="1">
      <alignment horizontal="center"/>
    </xf>
    <xf numFmtId="0" fontId="29" fillId="0" borderId="62" xfId="19" applyFont="1" applyBorder="1"/>
    <xf numFmtId="0" fontId="43" fillId="0" borderId="62" xfId="0" applyFont="1" applyBorder="1" applyAlignment="1">
      <alignment horizontal="center"/>
    </xf>
    <xf numFmtId="0" fontId="29" fillId="0" borderId="63" xfId="19" applyFont="1" applyBorder="1"/>
    <xf numFmtId="0" fontId="29" fillId="0" borderId="50" xfId="19" applyFont="1" applyBorder="1" applyAlignment="1">
      <alignment horizontal="center" vertical="center" wrapText="1"/>
    </xf>
    <xf numFmtId="0" fontId="29" fillId="0" borderId="43" xfId="19" applyFont="1" applyBorder="1" applyAlignment="1">
      <alignment horizontal="center" vertical="center"/>
    </xf>
    <xf numFmtId="0" fontId="24" fillId="0" borderId="43" xfId="19" applyFont="1" applyBorder="1" applyAlignment="1">
      <alignment vertical="center"/>
    </xf>
    <xf numFmtId="0" fontId="29" fillId="0" borderId="43" xfId="19" applyFont="1" applyBorder="1" applyAlignment="1">
      <alignment vertical="center"/>
    </xf>
    <xf numFmtId="0" fontId="29" fillId="0" borderId="43" xfId="19" applyFont="1" applyBorder="1" applyAlignment="1">
      <alignment horizontal="center" vertical="center" wrapText="1"/>
    </xf>
    <xf numFmtId="0" fontId="29" fillId="0" borderId="43" xfId="20" applyFont="1" applyBorder="1" applyAlignment="1">
      <alignment horizontal="center" vertical="center" wrapText="1"/>
    </xf>
    <xf numFmtId="0" fontId="29" fillId="0" borderId="51" xfId="20" applyFont="1" applyBorder="1" applyAlignment="1">
      <alignment horizontal="center" vertical="center" wrapText="1"/>
    </xf>
    <xf numFmtId="0" fontId="24" fillId="0" borderId="0" xfId="19" applyFont="1" applyAlignment="1">
      <alignment vertical="center"/>
    </xf>
    <xf numFmtId="0" fontId="84" fillId="0" borderId="64" xfId="19" applyFont="1" applyFill="1" applyBorder="1" applyAlignment="1">
      <alignment horizontal="center"/>
    </xf>
    <xf numFmtId="0" fontId="84" fillId="0" borderId="33" xfId="19" applyFont="1" applyFill="1" applyBorder="1" applyAlignment="1">
      <alignment horizontal="center"/>
    </xf>
    <xf numFmtId="0" fontId="85" fillId="0" borderId="34" xfId="19" applyFont="1" applyFill="1" applyBorder="1"/>
    <xf numFmtId="0" fontId="29" fillId="0" borderId="44" xfId="19" applyFont="1" applyFill="1" applyBorder="1"/>
    <xf numFmtId="0" fontId="86" fillId="0" borderId="44" xfId="19" applyFont="1" applyFill="1" applyBorder="1"/>
    <xf numFmtId="0" fontId="86" fillId="0" borderId="65" xfId="19" applyFont="1" applyFill="1" applyBorder="1"/>
    <xf numFmtId="0" fontId="86" fillId="0" borderId="0" xfId="19" applyFont="1" applyFill="1"/>
    <xf numFmtId="0" fontId="86" fillId="0" borderId="0" xfId="19" applyFont="1"/>
    <xf numFmtId="0" fontId="84" fillId="0" borderId="66" xfId="19" applyFont="1" applyFill="1" applyBorder="1" applyAlignment="1">
      <alignment horizontal="center"/>
    </xf>
    <xf numFmtId="0" fontId="84" fillId="0" borderId="36" xfId="19" applyFont="1" applyFill="1" applyBorder="1" applyAlignment="1">
      <alignment horizontal="center"/>
    </xf>
    <xf numFmtId="0" fontId="85" fillId="0" borderId="37" xfId="19" applyFont="1" applyFill="1" applyBorder="1"/>
    <xf numFmtId="0" fontId="29" fillId="0" borderId="36" xfId="19" applyFont="1" applyFill="1" applyBorder="1"/>
    <xf numFmtId="0" fontId="86" fillId="0" borderId="36" xfId="19" applyFont="1" applyFill="1" applyBorder="1"/>
    <xf numFmtId="0" fontId="86" fillId="0" borderId="67" xfId="19" applyFont="1" applyFill="1" applyBorder="1"/>
    <xf numFmtId="0" fontId="29" fillId="0" borderId="66" xfId="19" applyFont="1" applyFill="1" applyBorder="1" applyAlignment="1">
      <alignment horizontal="center"/>
    </xf>
    <xf numFmtId="0" fontId="29" fillId="0" borderId="36" xfId="19" applyFont="1" applyFill="1" applyBorder="1" applyAlignment="1">
      <alignment horizontal="center"/>
    </xf>
    <xf numFmtId="0" fontId="30" fillId="0" borderId="37" xfId="19" applyFont="1" applyFill="1" applyBorder="1"/>
    <xf numFmtId="0" fontId="30" fillId="0" borderId="36" xfId="19" applyFont="1" applyFill="1" applyBorder="1" applyAlignment="1">
      <alignment horizontal="center"/>
    </xf>
    <xf numFmtId="1" fontId="30" fillId="0" borderId="36" xfId="19" applyNumberFormat="1" applyFont="1" applyFill="1" applyBorder="1" applyAlignment="1">
      <alignment horizontal="center"/>
    </xf>
    <xf numFmtId="10" fontId="30" fillId="0" borderId="36" xfId="21" applyNumberFormat="1" applyFont="1" applyFill="1" applyBorder="1" applyAlignment="1">
      <alignment horizontal="center"/>
    </xf>
    <xf numFmtId="0" fontId="24" fillId="0" borderId="0" xfId="19" applyFont="1" applyFill="1"/>
    <xf numFmtId="0" fontId="24" fillId="3" borderId="0" xfId="19" applyFont="1" applyFill="1"/>
    <xf numFmtId="1" fontId="30" fillId="0" borderId="36" xfId="20" applyNumberFormat="1" applyFont="1" applyFill="1" applyBorder="1" applyAlignment="1">
      <alignment horizontal="center"/>
    </xf>
    <xf numFmtId="1" fontId="24" fillId="0" borderId="0" xfId="19" applyNumberFormat="1" applyFont="1" applyFill="1"/>
    <xf numFmtId="0" fontId="30" fillId="0" borderId="37" xfId="19" applyFont="1" applyFill="1" applyBorder="1" applyAlignment="1">
      <alignment wrapText="1"/>
    </xf>
    <xf numFmtId="0" fontId="29" fillId="0" borderId="66" xfId="19" applyFont="1" applyBorder="1" applyAlignment="1">
      <alignment horizontal="center"/>
    </xf>
    <xf numFmtId="0" fontId="29" fillId="0" borderId="36" xfId="19" applyFont="1" applyBorder="1" applyAlignment="1">
      <alignment horizontal="center"/>
    </xf>
    <xf numFmtId="0" fontId="29" fillId="0" borderId="37" xfId="19" applyFont="1" applyBorder="1" applyAlignment="1">
      <alignment horizontal="left"/>
    </xf>
    <xf numFmtId="2" fontId="30" fillId="0" borderId="36" xfId="19" applyNumberFormat="1" applyFont="1" applyFill="1" applyBorder="1" applyAlignment="1">
      <alignment horizontal="center"/>
    </xf>
    <xf numFmtId="2" fontId="30" fillId="0" borderId="67" xfId="19" applyNumberFormat="1" applyFont="1" applyFill="1" applyBorder="1" applyAlignment="1">
      <alignment horizontal="center"/>
    </xf>
    <xf numFmtId="0" fontId="84" fillId="0" borderId="66" xfId="19" applyFont="1" applyBorder="1" applyAlignment="1">
      <alignment horizontal="center"/>
    </xf>
    <xf numFmtId="0" fontId="84" fillId="0" borderId="36" xfId="19" applyFont="1" applyBorder="1" applyAlignment="1">
      <alignment horizontal="center"/>
    </xf>
    <xf numFmtId="0" fontId="85" fillId="0" borderId="37" xfId="19" applyFont="1" applyBorder="1"/>
    <xf numFmtId="0" fontId="85" fillId="0" borderId="37" xfId="19" applyFont="1" applyBorder="1" applyAlignment="1">
      <alignment wrapText="1"/>
    </xf>
    <xf numFmtId="0" fontId="29" fillId="0" borderId="37" xfId="19" applyFont="1" applyBorder="1" applyAlignment="1">
      <alignment wrapText="1"/>
    </xf>
    <xf numFmtId="0" fontId="84" fillId="0" borderId="66" xfId="19" applyFont="1" applyBorder="1" applyAlignment="1">
      <alignment wrapText="1"/>
    </xf>
    <xf numFmtId="0" fontId="30" fillId="0" borderId="67" xfId="19" applyFont="1" applyFill="1" applyBorder="1" applyAlignment="1">
      <alignment horizontal="center"/>
    </xf>
    <xf numFmtId="0" fontId="30" fillId="0" borderId="0" xfId="19" applyFont="1"/>
    <xf numFmtId="0" fontId="30" fillId="0" borderId="37" xfId="19" applyFont="1" applyBorder="1"/>
    <xf numFmtId="0" fontId="84" fillId="0" borderId="37" xfId="19" applyFont="1" applyBorder="1" applyAlignment="1">
      <alignment wrapText="1"/>
    </xf>
    <xf numFmtId="0" fontId="30" fillId="0" borderId="37" xfId="19" applyFont="1" applyBorder="1" applyAlignment="1">
      <alignment wrapText="1"/>
    </xf>
    <xf numFmtId="2" fontId="24" fillId="0" borderId="0" xfId="19" applyNumberFormat="1" applyFont="1"/>
    <xf numFmtId="0" fontId="84" fillId="0" borderId="68" xfId="19" applyFont="1" applyBorder="1" applyAlignment="1">
      <alignment horizontal="center"/>
    </xf>
    <xf numFmtId="0" fontId="29" fillId="0" borderId="46" xfId="19" applyFont="1" applyBorder="1" applyAlignment="1">
      <alignment horizontal="center"/>
    </xf>
    <xf numFmtId="0" fontId="29" fillId="0" borderId="69" xfId="19" applyFont="1" applyBorder="1" applyAlignment="1">
      <alignment wrapText="1"/>
    </xf>
    <xf numFmtId="0" fontId="29" fillId="0" borderId="46" xfId="19" applyFont="1" applyFill="1" applyBorder="1" applyAlignment="1">
      <alignment horizontal="center"/>
    </xf>
    <xf numFmtId="2" fontId="86" fillId="0" borderId="0" xfId="19" applyNumberFormat="1" applyFont="1"/>
    <xf numFmtId="0" fontId="82" fillId="0" borderId="20" xfId="19" applyFont="1" applyBorder="1" applyAlignment="1">
      <alignment horizontal="center"/>
    </xf>
    <xf numFmtId="0" fontId="82" fillId="0" borderId="21" xfId="19" applyFont="1" applyBorder="1" applyAlignment="1">
      <alignment horizontal="center"/>
    </xf>
    <xf numFmtId="0" fontId="29" fillId="0" borderId="21" xfId="19" applyFont="1" applyBorder="1" applyAlignment="1">
      <alignment horizontal="center"/>
    </xf>
    <xf numFmtId="0" fontId="83" fillId="0" borderId="21" xfId="19" applyFont="1" applyBorder="1" applyAlignment="1">
      <alignment horizontal="center"/>
    </xf>
    <xf numFmtId="0" fontId="83" fillId="0" borderId="71" xfId="19" applyFont="1" applyBorder="1" applyAlignment="1">
      <alignment horizontal="center"/>
    </xf>
    <xf numFmtId="0" fontId="29" fillId="0" borderId="5" xfId="19" applyFont="1" applyBorder="1" applyAlignment="1">
      <alignment horizontal="center"/>
    </xf>
    <xf numFmtId="0" fontId="29" fillId="0" borderId="3" xfId="19" applyFont="1" applyBorder="1" applyAlignment="1">
      <alignment horizontal="center"/>
    </xf>
    <xf numFmtId="0" fontId="29" fillId="0" borderId="3" xfId="19" applyFont="1" applyBorder="1"/>
    <xf numFmtId="0" fontId="29" fillId="0" borderId="38" xfId="19" applyFont="1" applyBorder="1" applyAlignment="1">
      <alignment horizontal="center"/>
    </xf>
    <xf numFmtId="0" fontId="29" fillId="0" borderId="40" xfId="19" applyFont="1" applyBorder="1" applyAlignment="1">
      <alignment horizontal="center"/>
    </xf>
    <xf numFmtId="0" fontId="29" fillId="0" borderId="40" xfId="19" applyFont="1" applyBorder="1"/>
    <xf numFmtId="0" fontId="25" fillId="0" borderId="62" xfId="19" applyFont="1" applyBorder="1" applyAlignment="1">
      <alignment horizontal="center"/>
    </xf>
    <xf numFmtId="0" fontId="25" fillId="0" borderId="62" xfId="19" applyFont="1" applyBorder="1"/>
    <xf numFmtId="0" fontId="25" fillId="0" borderId="63" xfId="19" applyFont="1" applyBorder="1"/>
    <xf numFmtId="0" fontId="29" fillId="0" borderId="50" xfId="19" applyFont="1" applyBorder="1" applyAlignment="1">
      <alignment horizontal="center"/>
    </xf>
    <xf numFmtId="0" fontId="24" fillId="0" borderId="32" xfId="19" applyFont="1" applyBorder="1" applyAlignment="1"/>
    <xf numFmtId="0" fontId="29" fillId="0" borderId="50" xfId="19" applyFont="1" applyBorder="1" applyAlignment="1">
      <alignment horizontal="center" wrapText="1"/>
    </xf>
    <xf numFmtId="0" fontId="29" fillId="0" borderId="43" xfId="19" applyFont="1" applyBorder="1" applyAlignment="1">
      <alignment horizontal="center" wrapText="1"/>
    </xf>
    <xf numFmtId="0" fontId="29" fillId="0" borderId="51" xfId="19" applyFont="1" applyBorder="1" applyAlignment="1">
      <alignment horizontal="center" wrapText="1"/>
    </xf>
    <xf numFmtId="0" fontId="84" fillId="0" borderId="64" xfId="19" applyFont="1" applyBorder="1" applyAlignment="1">
      <alignment horizontal="center"/>
    </xf>
    <xf numFmtId="0" fontId="29" fillId="0" borderId="44" xfId="19" applyFont="1" applyBorder="1" applyAlignment="1">
      <alignment horizontal="center"/>
    </xf>
    <xf numFmtId="0" fontId="85" fillId="0" borderId="34" xfId="19" applyFont="1" applyBorder="1"/>
    <xf numFmtId="0" fontId="30" fillId="0" borderId="36" xfId="19" applyFont="1" applyBorder="1" applyAlignment="1">
      <alignment horizontal="center"/>
    </xf>
    <xf numFmtId="0" fontId="29" fillId="0" borderId="37" xfId="19" applyFont="1" applyBorder="1"/>
    <xf numFmtId="0" fontId="87" fillId="0" borderId="36" xfId="19" applyFont="1" applyBorder="1" applyAlignment="1">
      <alignment horizontal="center"/>
    </xf>
    <xf numFmtId="10" fontId="30" fillId="0" borderId="36" xfId="21" applyNumberFormat="1" applyFont="1" applyBorder="1" applyAlignment="1">
      <alignment horizontal="center"/>
    </xf>
    <xf numFmtId="0" fontId="88" fillId="0" borderId="36" xfId="19" applyFont="1" applyBorder="1" applyAlignment="1">
      <alignment horizontal="center"/>
    </xf>
    <xf numFmtId="2" fontId="30" fillId="0" borderId="36" xfId="19" applyNumberFormat="1" applyFont="1" applyBorder="1" applyAlignment="1">
      <alignment horizontal="center"/>
    </xf>
    <xf numFmtId="0" fontId="84" fillId="4" borderId="36" xfId="19" applyFont="1" applyFill="1" applyBorder="1" applyAlignment="1">
      <alignment horizontal="center"/>
    </xf>
    <xf numFmtId="0" fontId="85" fillId="4" borderId="37" xfId="19" applyFont="1" applyFill="1" applyBorder="1"/>
    <xf numFmtId="0" fontId="88" fillId="4" borderId="36" xfId="19" applyFont="1" applyFill="1" applyBorder="1" applyAlignment="1">
      <alignment horizontal="center"/>
    </xf>
    <xf numFmtId="2" fontId="29" fillId="4" borderId="36" xfId="19" applyNumberFormat="1" applyFont="1" applyFill="1" applyBorder="1" applyAlignment="1">
      <alignment horizontal="center"/>
    </xf>
    <xf numFmtId="10" fontId="29" fillId="4" borderId="36" xfId="21" applyNumberFormat="1" applyFont="1" applyFill="1" applyBorder="1" applyAlignment="1">
      <alignment horizontal="center"/>
    </xf>
    <xf numFmtId="0" fontId="84" fillId="0" borderId="37" xfId="19" applyFont="1" applyBorder="1"/>
    <xf numFmtId="0" fontId="84" fillId="4" borderId="46" xfId="19" applyFont="1" applyFill="1" applyBorder="1" applyAlignment="1">
      <alignment horizontal="center"/>
    </xf>
    <xf numFmtId="0" fontId="84" fillId="4" borderId="69" xfId="19" applyFont="1" applyFill="1" applyBorder="1"/>
    <xf numFmtId="2" fontId="29" fillId="4" borderId="46" xfId="19" applyNumberFormat="1" applyFont="1" applyFill="1" applyBorder="1" applyAlignment="1">
      <alignment horizontal="center"/>
    </xf>
    <xf numFmtId="0" fontId="29" fillId="0" borderId="14" xfId="19" applyFont="1" applyBorder="1" applyAlignment="1">
      <alignment horizontal="center"/>
    </xf>
    <xf numFmtId="0" fontId="29" fillId="0" borderId="16" xfId="19" applyFont="1" applyBorder="1" applyAlignment="1">
      <alignment horizontal="center"/>
    </xf>
    <xf numFmtId="0" fontId="29" fillId="0" borderId="16" xfId="19" applyFont="1" applyBorder="1"/>
    <xf numFmtId="0" fontId="24" fillId="0" borderId="16" xfId="19" applyFont="1" applyBorder="1"/>
    <xf numFmtId="0" fontId="24" fillId="0" borderId="72" xfId="19" applyFont="1" applyBorder="1"/>
    <xf numFmtId="0" fontId="29" fillId="0" borderId="20" xfId="19" applyFont="1" applyBorder="1" applyAlignment="1">
      <alignment horizontal="center"/>
    </xf>
    <xf numFmtId="0" fontId="29" fillId="0" borderId="21" xfId="19" applyFont="1" applyBorder="1"/>
    <xf numFmtId="0" fontId="29" fillId="0" borderId="32" xfId="19" applyFont="1" applyBorder="1" applyAlignment="1">
      <alignment horizontal="center"/>
    </xf>
    <xf numFmtId="0" fontId="24" fillId="0" borderId="43" xfId="19" applyFont="1" applyBorder="1" applyAlignment="1"/>
    <xf numFmtId="0" fontId="29" fillId="0" borderId="44" xfId="19" quotePrefix="1" applyFont="1" applyBorder="1" applyAlignment="1">
      <alignment horizontal="center"/>
    </xf>
    <xf numFmtId="0" fontId="29" fillId="0" borderId="34" xfId="19" applyFont="1" applyBorder="1" applyAlignment="1">
      <alignment horizontal="center"/>
    </xf>
    <xf numFmtId="0" fontId="30" fillId="0" borderId="44" xfId="19" applyFont="1" applyBorder="1"/>
    <xf numFmtId="0" fontId="30" fillId="0" borderId="44" xfId="19" applyFont="1" applyBorder="1" applyAlignment="1">
      <alignment horizontal="center"/>
    </xf>
    <xf numFmtId="2" fontId="30" fillId="0" borderId="44" xfId="19" applyNumberFormat="1" applyFont="1" applyFill="1" applyBorder="1" applyAlignment="1">
      <alignment horizontal="center"/>
    </xf>
    <xf numFmtId="0" fontId="29" fillId="0" borderId="37" xfId="19" applyFont="1" applyBorder="1" applyAlignment="1">
      <alignment horizontal="center"/>
    </xf>
    <xf numFmtId="0" fontId="30" fillId="0" borderId="36" xfId="19" applyFont="1" applyBorder="1"/>
    <xf numFmtId="0" fontId="89" fillId="0" borderId="0" xfId="19" applyFont="1"/>
    <xf numFmtId="0" fontId="30" fillId="0" borderId="36" xfId="19" applyFont="1" applyBorder="1" applyAlignment="1">
      <alignment vertical="center" wrapText="1"/>
    </xf>
    <xf numFmtId="0" fontId="29" fillId="0" borderId="37" xfId="19" applyFont="1" applyFill="1" applyBorder="1" applyAlignment="1">
      <alignment horizontal="center"/>
    </xf>
    <xf numFmtId="2" fontId="29" fillId="0" borderId="44" xfId="19" applyNumberFormat="1" applyFont="1" applyFill="1" applyBorder="1" applyAlignment="1">
      <alignment horizontal="center"/>
    </xf>
    <xf numFmtId="10" fontId="29" fillId="0" borderId="36" xfId="21" applyNumberFormat="1" applyFont="1" applyFill="1" applyBorder="1" applyAlignment="1">
      <alignment horizontal="center"/>
    </xf>
    <xf numFmtId="4" fontId="30" fillId="0" borderId="0" xfId="0" applyNumberFormat="1" applyFont="1"/>
    <xf numFmtId="0" fontId="30" fillId="0" borderId="36" xfId="19" applyFont="1" applyBorder="1" applyAlignment="1">
      <alignment wrapText="1"/>
    </xf>
    <xf numFmtId="2" fontId="29" fillId="0" borderId="36" xfId="19" applyNumberFormat="1" applyFont="1" applyFill="1" applyBorder="1" applyAlignment="1">
      <alignment horizontal="center"/>
    </xf>
    <xf numFmtId="0" fontId="84" fillId="0" borderId="46" xfId="19" applyFont="1" applyBorder="1" applyAlignment="1">
      <alignment horizontal="center"/>
    </xf>
    <xf numFmtId="0" fontId="29" fillId="0" borderId="69" xfId="19" applyFont="1" applyFill="1" applyBorder="1" applyAlignment="1">
      <alignment horizontal="center"/>
    </xf>
    <xf numFmtId="0" fontId="29" fillId="0" borderId="46" xfId="19" applyFont="1" applyFill="1" applyBorder="1" applyAlignment="1">
      <alignment wrapText="1"/>
    </xf>
    <xf numFmtId="0" fontId="29" fillId="0" borderId="46" xfId="19" applyFont="1" applyFill="1" applyBorder="1" applyAlignment="1">
      <alignment horizontal="center" vertical="center"/>
    </xf>
    <xf numFmtId="10" fontId="30" fillId="0" borderId="46" xfId="21" applyNumberFormat="1" applyFont="1" applyFill="1" applyBorder="1" applyAlignment="1">
      <alignment horizontal="center"/>
    </xf>
    <xf numFmtId="0" fontId="92" fillId="0" borderId="0" xfId="0" applyFont="1" applyFill="1"/>
    <xf numFmtId="0" fontId="92" fillId="0" borderId="0" xfId="0" applyFont="1"/>
    <xf numFmtId="164" fontId="92" fillId="0" borderId="0" xfId="5" applyFont="1"/>
    <xf numFmtId="0" fontId="43" fillId="0" borderId="0" xfId="0" applyFont="1" applyAlignment="1">
      <alignment horizontal="center"/>
    </xf>
    <xf numFmtId="0" fontId="43" fillId="0" borderId="0" xfId="0" applyFont="1"/>
    <xf numFmtId="0" fontId="91" fillId="0" borderId="0" xfId="0" applyFont="1" applyAlignment="1">
      <alignment horizontal="center"/>
    </xf>
    <xf numFmtId="0" fontId="94" fillId="0" borderId="0" xfId="0" applyFont="1" applyFill="1" applyAlignment="1">
      <alignment horizontal="center"/>
    </xf>
    <xf numFmtId="0" fontId="93" fillId="0" borderId="0" xfId="0" applyFont="1" applyFill="1" applyAlignment="1">
      <alignment horizontal="center"/>
    </xf>
    <xf numFmtId="0" fontId="43" fillId="0" borderId="43" xfId="0" applyFont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43" fillId="0" borderId="43" xfId="0" applyFont="1" applyBorder="1"/>
    <xf numFmtId="0" fontId="43" fillId="0" borderId="32" xfId="0" applyFont="1" applyBorder="1"/>
    <xf numFmtId="0" fontId="43" fillId="0" borderId="73" xfId="0" applyFont="1" applyBorder="1" applyAlignment="1">
      <alignment horizontal="center"/>
    </xf>
    <xf numFmtId="0" fontId="43" fillId="0" borderId="56" xfId="0" applyFont="1" applyBorder="1" applyAlignment="1">
      <alignment horizontal="center"/>
    </xf>
    <xf numFmtId="0" fontId="95" fillId="0" borderId="62" xfId="0" applyFont="1" applyBorder="1"/>
    <xf numFmtId="0" fontId="95" fillId="0" borderId="62" xfId="0" applyFont="1" applyFill="1" applyBorder="1" applyAlignment="1">
      <alignment horizontal="center"/>
    </xf>
    <xf numFmtId="0" fontId="95" fillId="0" borderId="62" xfId="0" applyFont="1" applyFill="1" applyBorder="1"/>
    <xf numFmtId="0" fontId="95" fillId="0" borderId="63" xfId="0" applyFont="1" applyFill="1" applyBorder="1"/>
    <xf numFmtId="0" fontId="43" fillId="0" borderId="43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92" fillId="0" borderId="43" xfId="0" applyFont="1" applyBorder="1" applyAlignment="1">
      <alignment vertical="center"/>
    </xf>
    <xf numFmtId="0" fontId="95" fillId="0" borderId="32" xfId="0" applyFont="1" applyBorder="1" applyAlignment="1">
      <alignment vertical="center"/>
    </xf>
    <xf numFmtId="0" fontId="95" fillId="0" borderId="8" xfId="0" applyFont="1" applyFill="1" applyBorder="1" applyAlignment="1">
      <alignment horizontal="center" vertical="center" wrapText="1"/>
    </xf>
    <xf numFmtId="0" fontId="95" fillId="0" borderId="10" xfId="0" applyFont="1" applyFill="1" applyBorder="1" applyAlignment="1">
      <alignment horizontal="center" vertical="center" wrapText="1"/>
    </xf>
    <xf numFmtId="0" fontId="43" fillId="0" borderId="27" xfId="22" applyFont="1" applyFill="1" applyBorder="1" applyAlignment="1">
      <alignment horizontal="center" vertical="center" wrapText="1"/>
    </xf>
    <xf numFmtId="0" fontId="43" fillId="0" borderId="10" xfId="22" applyFont="1" applyFill="1" applyBorder="1" applyAlignment="1">
      <alignment horizontal="center" vertical="center" wrapText="1"/>
    </xf>
    <xf numFmtId="0" fontId="92" fillId="0" borderId="0" xfId="0" applyFont="1" applyAlignment="1">
      <alignment vertical="center"/>
    </xf>
    <xf numFmtId="164" fontId="92" fillId="0" borderId="0" xfId="5" applyFont="1" applyAlignment="1">
      <alignment vertical="center"/>
    </xf>
    <xf numFmtId="0" fontId="96" fillId="0" borderId="33" xfId="0" applyFont="1" applyBorder="1" applyAlignment="1">
      <alignment horizontal="center"/>
    </xf>
    <xf numFmtId="0" fontId="96" fillId="0" borderId="30" xfId="0" applyFont="1" applyBorder="1" applyAlignment="1">
      <alignment horizontal="center"/>
    </xf>
    <xf numFmtId="0" fontId="97" fillId="0" borderId="33" xfId="0" applyFont="1" applyBorder="1"/>
    <xf numFmtId="0" fontId="98" fillId="0" borderId="20" xfId="0" applyFont="1" applyFill="1" applyBorder="1"/>
    <xf numFmtId="0" fontId="98" fillId="0" borderId="71" xfId="0" applyFont="1" applyFill="1" applyBorder="1"/>
    <xf numFmtId="0" fontId="98" fillId="0" borderId="0" xfId="0" applyFont="1"/>
    <xf numFmtId="164" fontId="98" fillId="0" borderId="0" xfId="5" applyFont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40" fillId="0" borderId="36" xfId="0" applyFont="1" applyBorder="1"/>
    <xf numFmtId="0" fontId="40" fillId="0" borderId="66" xfId="0" applyFont="1" applyBorder="1"/>
    <xf numFmtId="1" fontId="40" fillId="0" borderId="3" xfId="0" applyNumberFormat="1" applyFont="1" applyFill="1" applyBorder="1"/>
    <xf numFmtId="1" fontId="40" fillId="0" borderId="7" xfId="0" applyNumberFormat="1" applyFont="1" applyFill="1" applyBorder="1"/>
    <xf numFmtId="2" fontId="40" fillId="0" borderId="5" xfId="0" applyNumberFormat="1" applyFont="1" applyFill="1" applyBorder="1"/>
    <xf numFmtId="2" fontId="40" fillId="0" borderId="7" xfId="0" applyNumberFormat="1" applyFont="1" applyFill="1" applyBorder="1"/>
    <xf numFmtId="0" fontId="40" fillId="0" borderId="3" xfId="0" applyFont="1" applyFill="1" applyBorder="1"/>
    <xf numFmtId="0" fontId="40" fillId="0" borderId="25" xfId="0" applyFont="1" applyFill="1" applyBorder="1"/>
    <xf numFmtId="0" fontId="40" fillId="0" borderId="7" xfId="0" applyFont="1" applyFill="1" applyBorder="1"/>
    <xf numFmtId="0" fontId="43" fillId="0" borderId="36" xfId="0" applyFont="1" applyBorder="1"/>
    <xf numFmtId="0" fontId="43" fillId="0" borderId="66" xfId="0" applyFont="1" applyBorder="1"/>
    <xf numFmtId="1" fontId="43" fillId="0" borderId="3" xfId="0" applyNumberFormat="1" applyFont="1" applyFill="1" applyBorder="1"/>
    <xf numFmtId="1" fontId="43" fillId="0" borderId="25" xfId="0" applyNumberFormat="1" applyFont="1" applyFill="1" applyBorder="1"/>
    <xf numFmtId="0" fontId="43" fillId="0" borderId="7" xfId="0" applyFont="1" applyFill="1" applyBorder="1"/>
    <xf numFmtId="1" fontId="92" fillId="0" borderId="0" xfId="0" applyNumberFormat="1" applyFont="1"/>
    <xf numFmtId="1" fontId="43" fillId="0" borderId="7" xfId="0" applyNumberFormat="1" applyFont="1" applyFill="1" applyBorder="1"/>
    <xf numFmtId="1" fontId="43" fillId="0" borderId="5" xfId="0" applyNumberFormat="1" applyFont="1" applyFill="1" applyBorder="1"/>
    <xf numFmtId="0" fontId="96" fillId="0" borderId="46" xfId="0" applyFont="1" applyBorder="1" applyAlignment="1">
      <alignment horizontal="center"/>
    </xf>
    <xf numFmtId="0" fontId="96" fillId="0" borderId="37" xfId="0" applyFont="1" applyBorder="1" applyAlignment="1">
      <alignment horizontal="center"/>
    </xf>
    <xf numFmtId="0" fontId="96" fillId="0" borderId="46" xfId="0" applyFont="1" applyBorder="1"/>
    <xf numFmtId="1" fontId="40" fillId="0" borderId="19" xfId="0" applyNumberFormat="1" applyFont="1" applyFill="1" applyBorder="1"/>
    <xf numFmtId="2" fontId="40" fillId="0" borderId="22" xfId="0" applyNumberFormat="1" applyFont="1" applyFill="1" applyBorder="1"/>
    <xf numFmtId="2" fontId="40" fillId="0" borderId="19" xfId="0" applyNumberFormat="1" applyFont="1" applyFill="1" applyBorder="1"/>
    <xf numFmtId="0" fontId="43" fillId="0" borderId="73" xfId="0" applyFont="1" applyBorder="1"/>
    <xf numFmtId="0" fontId="92" fillId="0" borderId="56" xfId="0" applyFont="1" applyFill="1" applyBorder="1"/>
    <xf numFmtId="0" fontId="92" fillId="0" borderId="62" xfId="0" applyFont="1" applyFill="1" applyBorder="1"/>
    <xf numFmtId="2" fontId="92" fillId="0" borderId="62" xfId="0" applyNumberFormat="1" applyFont="1" applyFill="1" applyBorder="1"/>
    <xf numFmtId="0" fontId="92" fillId="0" borderId="63" xfId="0" applyFont="1" applyFill="1" applyBorder="1"/>
    <xf numFmtId="0" fontId="95" fillId="0" borderId="36" xfId="0" applyFont="1" applyBorder="1"/>
    <xf numFmtId="1" fontId="40" fillId="0" borderId="66" xfId="0" applyNumberFormat="1" applyFont="1" applyFill="1" applyBorder="1"/>
    <xf numFmtId="1" fontId="40" fillId="0" borderId="5" xfId="0" applyNumberFormat="1" applyFont="1" applyFill="1" applyBorder="1"/>
    <xf numFmtId="2" fontId="43" fillId="0" borderId="5" xfId="0" applyNumberFormat="1" applyFont="1" applyFill="1" applyBorder="1"/>
    <xf numFmtId="2" fontId="43" fillId="0" borderId="7" xfId="0" applyNumberFormat="1" applyFont="1" applyFill="1" applyBorder="1"/>
    <xf numFmtId="164" fontId="95" fillId="0" borderId="0" xfId="5" applyFont="1"/>
    <xf numFmtId="0" fontId="95" fillId="0" borderId="0" xfId="0" applyFont="1"/>
    <xf numFmtId="0" fontId="40" fillId="0" borderId="36" xfId="0" applyFont="1" applyFill="1" applyBorder="1"/>
    <xf numFmtId="0" fontId="95" fillId="0" borderId="36" xfId="0" applyFont="1" applyFill="1" applyBorder="1"/>
    <xf numFmtId="171" fontId="92" fillId="0" borderId="0" xfId="0" applyNumberFormat="1" applyFont="1"/>
    <xf numFmtId="0" fontId="96" fillId="0" borderId="69" xfId="0" applyFont="1" applyBorder="1" applyAlignment="1">
      <alignment horizontal="center"/>
    </xf>
    <xf numFmtId="0" fontId="95" fillId="0" borderId="46" xfId="0" applyFont="1" applyBorder="1"/>
    <xf numFmtId="1" fontId="43" fillId="0" borderId="22" xfId="0" applyNumberFormat="1" applyFont="1" applyFill="1" applyBorder="1"/>
    <xf numFmtId="1" fontId="43" fillId="0" borderId="19" xfId="0" applyNumberFormat="1" applyFont="1" applyFill="1" applyBorder="1"/>
    <xf numFmtId="1" fontId="40" fillId="0" borderId="22" xfId="0" applyNumberFormat="1" applyFont="1" applyFill="1" applyBorder="1"/>
    <xf numFmtId="0" fontId="43" fillId="0" borderId="62" xfId="0" applyFont="1" applyFill="1" applyBorder="1" applyAlignment="1">
      <alignment horizontal="center"/>
    </xf>
    <xf numFmtId="0" fontId="43" fillId="0" borderId="62" xfId="0" applyFont="1" applyFill="1" applyBorder="1"/>
    <xf numFmtId="43" fontId="92" fillId="0" borderId="0" xfId="0" applyNumberFormat="1" applyFont="1"/>
    <xf numFmtId="0" fontId="91" fillId="0" borderId="62" xfId="0" applyFont="1" applyFill="1" applyBorder="1" applyAlignment="1">
      <alignment horizontal="center"/>
    </xf>
    <xf numFmtId="0" fontId="94" fillId="0" borderId="62" xfId="0" applyFont="1" applyFill="1" applyBorder="1" applyAlignment="1">
      <alignment horizontal="center"/>
    </xf>
    <xf numFmtId="0" fontId="93" fillId="0" borderId="62" xfId="0" applyFont="1" applyFill="1" applyBorder="1" applyAlignment="1">
      <alignment horizontal="center"/>
    </xf>
    <xf numFmtId="0" fontId="43" fillId="0" borderId="8" xfId="0" applyFont="1" applyFill="1" applyBorder="1" applyAlignment="1">
      <alignment horizontal="center"/>
    </xf>
    <xf numFmtId="0" fontId="43" fillId="0" borderId="48" xfId="0" applyFont="1" applyFill="1" applyBorder="1" applyAlignment="1">
      <alignment horizontal="center"/>
    </xf>
    <xf numFmtId="0" fontId="43" fillId="0" borderId="43" xfId="0" applyFont="1" applyFill="1" applyBorder="1"/>
    <xf numFmtId="0" fontId="92" fillId="0" borderId="43" xfId="0" applyFont="1" applyFill="1" applyBorder="1" applyAlignment="1"/>
    <xf numFmtId="0" fontId="95" fillId="0" borderId="43" xfId="0" applyFont="1" applyFill="1" applyBorder="1"/>
    <xf numFmtId="0" fontId="95" fillId="0" borderId="8" xfId="0" applyFont="1" applyFill="1" applyBorder="1" applyAlignment="1">
      <alignment horizontal="center" wrapText="1"/>
    </xf>
    <xf numFmtId="0" fontId="95" fillId="0" borderId="10" xfId="0" applyFont="1" applyFill="1" applyBorder="1" applyAlignment="1">
      <alignment horizontal="center" wrapText="1"/>
    </xf>
    <xf numFmtId="0" fontId="95" fillId="0" borderId="27" xfId="0" applyFont="1" applyFill="1" applyBorder="1" applyAlignment="1">
      <alignment horizontal="center" wrapText="1"/>
    </xf>
    <xf numFmtId="0" fontId="96" fillId="0" borderId="33" xfId="0" applyFont="1" applyFill="1" applyBorder="1" applyAlignment="1">
      <alignment horizontal="center"/>
    </xf>
    <xf numFmtId="0" fontId="96" fillId="0" borderId="34" xfId="0" applyFont="1" applyFill="1" applyBorder="1" applyAlignment="1">
      <alignment horizontal="center"/>
    </xf>
    <xf numFmtId="0" fontId="97" fillId="0" borderId="33" xfId="0" applyFont="1" applyFill="1" applyBorder="1"/>
    <xf numFmtId="0" fontId="95" fillId="0" borderId="33" xfId="0" applyFont="1" applyFill="1" applyBorder="1"/>
    <xf numFmtId="0" fontId="43" fillId="0" borderId="36" xfId="0" applyFont="1" applyFill="1" applyBorder="1" applyAlignment="1">
      <alignment horizontal="center"/>
    </xf>
    <xf numFmtId="0" fontId="43" fillId="0" borderId="37" xfId="0" applyFont="1" applyFill="1" applyBorder="1" applyAlignment="1">
      <alignment horizontal="center"/>
    </xf>
    <xf numFmtId="0" fontId="43" fillId="0" borderId="36" xfId="0" applyFont="1" applyFill="1" applyBorder="1"/>
    <xf numFmtId="0" fontId="43" fillId="0" borderId="46" xfId="0" applyFont="1" applyFill="1" applyBorder="1" applyAlignment="1">
      <alignment horizontal="center"/>
    </xf>
    <xf numFmtId="0" fontId="96" fillId="0" borderId="46" xfId="0" applyFont="1" applyFill="1" applyBorder="1"/>
    <xf numFmtId="0" fontId="95" fillId="0" borderId="46" xfId="0" applyFont="1" applyFill="1" applyBorder="1"/>
    <xf numFmtId="2" fontId="43" fillId="0" borderId="3" xfId="23" applyNumberFormat="1" applyFont="1" applyBorder="1"/>
    <xf numFmtId="0" fontId="43" fillId="0" borderId="40" xfId="0" applyFont="1" applyFill="1" applyBorder="1" applyAlignment="1">
      <alignment horizontal="center"/>
    </xf>
    <xf numFmtId="0" fontId="96" fillId="0" borderId="62" xfId="0" applyFont="1" applyFill="1" applyBorder="1"/>
    <xf numFmtId="0" fontId="96" fillId="0" borderId="30" xfId="0" applyFont="1" applyFill="1" applyBorder="1" applyAlignment="1">
      <alignment horizontal="center"/>
    </xf>
    <xf numFmtId="2" fontId="98" fillId="0" borderId="20" xfId="0" applyNumberFormat="1" applyFont="1" applyFill="1" applyBorder="1"/>
    <xf numFmtId="2" fontId="98" fillId="0" borderId="71" xfId="0" applyNumberFormat="1" applyFont="1" applyFill="1" applyBorder="1"/>
    <xf numFmtId="2" fontId="98" fillId="0" borderId="0" xfId="0" applyNumberFormat="1" applyFont="1"/>
    <xf numFmtId="167" fontId="98" fillId="0" borderId="0" xfId="0" applyNumberFormat="1" applyFont="1"/>
    <xf numFmtId="0" fontId="43" fillId="0" borderId="69" xfId="0" applyFont="1" applyFill="1" applyBorder="1" applyAlignment="1">
      <alignment horizontal="center"/>
    </xf>
    <xf numFmtId="2" fontId="43" fillId="0" borderId="22" xfId="0" applyNumberFormat="1" applyFont="1" applyFill="1" applyBorder="1"/>
    <xf numFmtId="2" fontId="43" fillId="0" borderId="19" xfId="0" applyNumberFormat="1" applyFont="1" applyFill="1" applyBorder="1"/>
    <xf numFmtId="1" fontId="92" fillId="0" borderId="62" xfId="0" applyNumberFormat="1" applyFont="1" applyFill="1" applyBorder="1"/>
    <xf numFmtId="0" fontId="43" fillId="0" borderId="0" xfId="0" applyFont="1" applyFill="1" applyBorder="1" applyAlignment="1">
      <alignment horizontal="center"/>
    </xf>
    <xf numFmtId="0" fontId="95" fillId="0" borderId="0" xfId="0" applyFont="1" applyFill="1" applyBorder="1"/>
    <xf numFmtId="1" fontId="92" fillId="0" borderId="0" xfId="0" applyNumberFormat="1" applyFont="1" applyFill="1" applyBorder="1"/>
    <xf numFmtId="2" fontId="92" fillId="0" borderId="0" xfId="0" applyNumberFormat="1" applyFont="1" applyFill="1" applyBorder="1"/>
    <xf numFmtId="0" fontId="92" fillId="0" borderId="0" xfId="0" applyFont="1" applyFill="1" applyBorder="1"/>
    <xf numFmtId="0" fontId="43" fillId="0" borderId="9" xfId="0" applyFont="1" applyFill="1" applyBorder="1" applyAlignment="1">
      <alignment horizontal="center"/>
    </xf>
    <xf numFmtId="0" fontId="43" fillId="0" borderId="48" xfId="0" applyFont="1" applyFill="1" applyBorder="1"/>
    <xf numFmtId="0" fontId="92" fillId="0" borderId="62" xfId="0" applyFont="1" applyFill="1" applyBorder="1" applyAlignment="1">
      <alignment horizontal="center"/>
    </xf>
    <xf numFmtId="0" fontId="92" fillId="0" borderId="48" xfId="0" applyFont="1" applyFill="1" applyBorder="1" applyAlignment="1"/>
    <xf numFmtId="0" fontId="97" fillId="0" borderId="0" xfId="0" applyFont="1" applyFill="1" applyBorder="1"/>
    <xf numFmtId="0" fontId="98" fillId="0" borderId="23" xfId="0" applyFont="1" applyFill="1" applyBorder="1"/>
    <xf numFmtId="0" fontId="98" fillId="0" borderId="74" xfId="0" applyFont="1" applyFill="1" applyBorder="1"/>
    <xf numFmtId="0" fontId="98" fillId="0" borderId="8" xfId="0" applyFont="1" applyFill="1" applyBorder="1"/>
    <xf numFmtId="0" fontId="98" fillId="0" borderId="10" xfId="0" applyFont="1" applyFill="1" applyBorder="1"/>
    <xf numFmtId="0" fontId="95" fillId="0" borderId="75" xfId="0" applyFont="1" applyFill="1" applyBorder="1"/>
    <xf numFmtId="1" fontId="40" fillId="0" borderId="71" xfId="0" applyNumberFormat="1" applyFont="1" applyFill="1" applyBorder="1"/>
    <xf numFmtId="1" fontId="40" fillId="0" borderId="20" xfId="0" applyNumberFormat="1" applyFont="1" applyFill="1" applyBorder="1"/>
    <xf numFmtId="2" fontId="40" fillId="0" borderId="11" xfId="0" applyNumberFormat="1" applyFont="1" applyFill="1" applyBorder="1"/>
    <xf numFmtId="2" fontId="40" fillId="0" borderId="13" xfId="0" applyNumberFormat="1" applyFont="1" applyFill="1" applyBorder="1"/>
    <xf numFmtId="4" fontId="0" fillId="0" borderId="0" xfId="0" applyNumberFormat="1" applyFill="1"/>
    <xf numFmtId="0" fontId="95" fillId="0" borderId="66" xfId="0" applyFont="1" applyFill="1" applyBorder="1"/>
    <xf numFmtId="2" fontId="40" fillId="0" borderId="25" xfId="0" applyNumberFormat="1" applyFont="1" applyFill="1" applyBorder="1"/>
    <xf numFmtId="1" fontId="43" fillId="0" borderId="38" xfId="0" applyNumberFormat="1" applyFont="1" applyFill="1" applyBorder="1"/>
    <xf numFmtId="2" fontId="43" fillId="0" borderId="25" xfId="0" applyNumberFormat="1" applyFont="1" applyFill="1" applyBorder="1"/>
    <xf numFmtId="0" fontId="95" fillId="0" borderId="0" xfId="0" applyFont="1" applyFill="1"/>
    <xf numFmtId="2" fontId="92" fillId="0" borderId="0" xfId="0" applyNumberFormat="1" applyFont="1" applyFill="1"/>
    <xf numFmtId="0" fontId="95" fillId="0" borderId="68" xfId="0" applyFont="1" applyFill="1" applyBorder="1"/>
    <xf numFmtId="2" fontId="40" fillId="0" borderId="26" xfId="0" applyNumberFormat="1" applyFont="1" applyFill="1" applyBorder="1"/>
    <xf numFmtId="1" fontId="40" fillId="0" borderId="62" xfId="0" applyNumberFormat="1" applyFont="1" applyFill="1" applyBorder="1"/>
    <xf numFmtId="0" fontId="40" fillId="0" borderId="62" xfId="0" applyFont="1" applyFill="1" applyBorder="1"/>
    <xf numFmtId="2" fontId="40" fillId="0" borderId="62" xfId="0" applyNumberFormat="1" applyFont="1" applyFill="1" applyBorder="1"/>
    <xf numFmtId="0" fontId="96" fillId="0" borderId="43" xfId="0" applyFont="1" applyFill="1" applyBorder="1" applyAlignment="1">
      <alignment horizontal="center"/>
    </xf>
    <xf numFmtId="0" fontId="96" fillId="0" borderId="27" xfId="0" applyFont="1" applyFill="1" applyBorder="1" applyAlignment="1">
      <alignment horizontal="center"/>
    </xf>
    <xf numFmtId="0" fontId="97" fillId="0" borderId="9" xfId="0" applyFont="1" applyFill="1" applyBorder="1"/>
    <xf numFmtId="0" fontId="40" fillId="0" borderId="9" xfId="0" applyFont="1" applyFill="1" applyBorder="1"/>
    <xf numFmtId="0" fontId="40" fillId="0" borderId="10" xfId="0" applyFont="1" applyFill="1" applyBorder="1"/>
    <xf numFmtId="0" fontId="99" fillId="0" borderId="0" xfId="0" applyFont="1" applyFill="1"/>
    <xf numFmtId="0" fontId="43" fillId="0" borderId="33" xfId="0" applyFont="1" applyFill="1" applyBorder="1" applyAlignment="1">
      <alignment horizontal="center"/>
    </xf>
    <xf numFmtId="0" fontId="43" fillId="0" borderId="30" xfId="0" applyFont="1" applyFill="1" applyBorder="1" applyAlignment="1">
      <alignment horizontal="center"/>
    </xf>
    <xf numFmtId="0" fontId="40" fillId="0" borderId="33" xfId="0" applyFont="1" applyFill="1" applyBorder="1"/>
    <xf numFmtId="2" fontId="40" fillId="0" borderId="20" xfId="0" applyNumberFormat="1" applyFont="1" applyFill="1" applyBorder="1"/>
    <xf numFmtId="2" fontId="40" fillId="0" borderId="71" xfId="0" applyNumberFormat="1" applyFont="1" applyFill="1" applyBorder="1"/>
    <xf numFmtId="1" fontId="51" fillId="0" borderId="0" xfId="0" applyNumberFormat="1" applyFont="1" applyFill="1"/>
    <xf numFmtId="1" fontId="92" fillId="0" borderId="0" xfId="0" applyNumberFormat="1" applyFont="1" applyFill="1"/>
    <xf numFmtId="2" fontId="40" fillId="0" borderId="41" xfId="0" applyNumberFormat="1" applyFont="1" applyFill="1" applyBorder="1"/>
    <xf numFmtId="1" fontId="40" fillId="0" borderId="25" xfId="0" applyNumberFormat="1" applyFont="1" applyFill="1" applyBorder="1"/>
    <xf numFmtId="1" fontId="24" fillId="0" borderId="0" xfId="0" applyNumberFormat="1" applyFont="1" applyFill="1"/>
    <xf numFmtId="1" fontId="43" fillId="0" borderId="70" xfId="0" applyNumberFormat="1" applyFont="1" applyFill="1" applyBorder="1"/>
    <xf numFmtId="0" fontId="43" fillId="0" borderId="73" xfId="0" applyFont="1" applyFill="1" applyBorder="1" applyAlignment="1">
      <alignment horizontal="center"/>
    </xf>
    <xf numFmtId="0" fontId="43" fillId="0" borderId="56" xfId="0" applyFont="1" applyFill="1" applyBorder="1" applyAlignment="1">
      <alignment horizontal="center"/>
    </xf>
    <xf numFmtId="0" fontId="40" fillId="0" borderId="20" xfId="0" applyFont="1" applyFill="1" applyBorder="1"/>
    <xf numFmtId="0" fontId="40" fillId="0" borderId="71" xfId="0" applyFont="1" applyFill="1" applyBorder="1"/>
    <xf numFmtId="0" fontId="90" fillId="0" borderId="32" xfId="19" applyFont="1" applyBorder="1" applyAlignment="1">
      <alignment wrapText="1"/>
    </xf>
    <xf numFmtId="0" fontId="90" fillId="0" borderId="51" xfId="19" applyFont="1" applyBorder="1" applyAlignment="1">
      <alignment wrapText="1"/>
    </xf>
    <xf numFmtId="0" fontId="29" fillId="0" borderId="0" xfId="19" applyFont="1" applyBorder="1" applyAlignment="1">
      <alignment horizontal="center"/>
    </xf>
    <xf numFmtId="0" fontId="30" fillId="0" borderId="0" xfId="19" applyFont="1" applyBorder="1"/>
    <xf numFmtId="0" fontId="29" fillId="0" borderId="0" xfId="19" applyFont="1" applyBorder="1"/>
    <xf numFmtId="0" fontId="29" fillId="0" borderId="0" xfId="19" applyFont="1" applyBorder="1" applyAlignment="1">
      <alignment horizontal="left"/>
    </xf>
    <xf numFmtId="0" fontId="29" fillId="0" borderId="8" xfId="19" applyFont="1" applyBorder="1" applyAlignment="1">
      <alignment horizontal="center"/>
    </xf>
    <xf numFmtId="0" fontId="30" fillId="0" borderId="48" xfId="19" applyFont="1" applyBorder="1"/>
    <xf numFmtId="0" fontId="29" fillId="0" borderId="8" xfId="19" applyFont="1" applyBorder="1"/>
    <xf numFmtId="0" fontId="29" fillId="0" borderId="48" xfId="19" applyFont="1" applyBorder="1" applyAlignment="1">
      <alignment horizontal="left"/>
    </xf>
    <xf numFmtId="0" fontId="30" fillId="0" borderId="49" xfId="19" applyFont="1" applyBorder="1"/>
    <xf numFmtId="0" fontId="29" fillId="0" borderId="17" xfId="19" applyFont="1" applyBorder="1"/>
    <xf numFmtId="0" fontId="29" fillId="0" borderId="62" xfId="19" applyFont="1" applyBorder="1" applyAlignment="1">
      <alignment horizontal="left"/>
    </xf>
    <xf numFmtId="0" fontId="30" fillId="0" borderId="8" xfId="19" applyFont="1" applyBorder="1" applyAlignment="1"/>
    <xf numFmtId="0" fontId="29" fillId="0" borderId="48" xfId="19" applyFont="1" applyBorder="1" applyAlignment="1">
      <alignment horizontal="left" vertical="center" wrapText="1"/>
    </xf>
    <xf numFmtId="0" fontId="29" fillId="0" borderId="29" xfId="19" applyFont="1" applyBorder="1"/>
    <xf numFmtId="0" fontId="29" fillId="0" borderId="20" xfId="19" applyFont="1" applyBorder="1"/>
    <xf numFmtId="0" fontId="29" fillId="0" borderId="29" xfId="19" applyFont="1" applyBorder="1" applyAlignment="1">
      <alignment horizontal="left"/>
    </xf>
    <xf numFmtId="0" fontId="29" fillId="0" borderId="75" xfId="19" applyFont="1" applyBorder="1" applyAlignment="1">
      <alignment horizontal="left"/>
    </xf>
    <xf numFmtId="0" fontId="29" fillId="0" borderId="33" xfId="19" applyFont="1" applyBorder="1" applyAlignment="1">
      <alignment horizontal="left"/>
    </xf>
    <xf numFmtId="0" fontId="30" fillId="0" borderId="33" xfId="19" applyFont="1" applyBorder="1" applyAlignment="1">
      <alignment horizontal="center"/>
    </xf>
    <xf numFmtId="0" fontId="30" fillId="0" borderId="60" xfId="19" applyFont="1" applyBorder="1" applyAlignment="1">
      <alignment horizontal="center"/>
    </xf>
    <xf numFmtId="0" fontId="30" fillId="0" borderId="6" xfId="19" applyFont="1" applyBorder="1"/>
    <xf numFmtId="0" fontId="30" fillId="0" borderId="5" xfId="19" applyFont="1" applyBorder="1"/>
    <xf numFmtId="2" fontId="30" fillId="0" borderId="6" xfId="19" applyNumberFormat="1" applyFont="1" applyBorder="1" applyAlignment="1">
      <alignment horizontal="left"/>
    </xf>
    <xf numFmtId="10" fontId="30" fillId="0" borderId="67" xfId="21" applyNumberFormat="1" applyFont="1" applyBorder="1" applyAlignment="1">
      <alignment horizontal="center"/>
    </xf>
    <xf numFmtId="0" fontId="29" fillId="0" borderId="5" xfId="19" applyFont="1" applyFill="1" applyBorder="1" applyAlignment="1">
      <alignment horizontal="center"/>
    </xf>
    <xf numFmtId="0" fontId="30" fillId="0" borderId="6" xfId="19" applyFont="1" applyFill="1" applyBorder="1"/>
    <xf numFmtId="0" fontId="30" fillId="0" borderId="5" xfId="19" applyFont="1" applyFill="1" applyBorder="1"/>
    <xf numFmtId="0" fontId="30" fillId="0" borderId="6" xfId="19" applyFont="1" applyFill="1" applyBorder="1" applyAlignment="1">
      <alignment horizontal="left"/>
    </xf>
    <xf numFmtId="10" fontId="30" fillId="0" borderId="67" xfId="21" applyNumberFormat="1" applyFont="1" applyFill="1" applyBorder="1" applyAlignment="1">
      <alignment horizontal="center"/>
    </xf>
    <xf numFmtId="2" fontId="30" fillId="0" borderId="3" xfId="19" applyNumberFormat="1" applyFont="1" applyFill="1" applyBorder="1" applyAlignment="1">
      <alignment horizontal="center"/>
    </xf>
    <xf numFmtId="0" fontId="30" fillId="3" borderId="0" xfId="19" applyFont="1" applyFill="1" applyBorder="1"/>
    <xf numFmtId="0" fontId="29" fillId="0" borderId="22" xfId="19" applyFont="1" applyBorder="1" applyAlignment="1">
      <alignment horizontal="center"/>
    </xf>
    <xf numFmtId="0" fontId="30" fillId="0" borderId="76" xfId="19" applyFont="1" applyFill="1" applyBorder="1"/>
    <xf numFmtId="0" fontId="29" fillId="0" borderId="22" xfId="19" applyFont="1" applyBorder="1"/>
    <xf numFmtId="0" fontId="29" fillId="0" borderId="76" xfId="19" applyFont="1" applyBorder="1" applyAlignment="1">
      <alignment horizontal="left"/>
    </xf>
    <xf numFmtId="2" fontId="29" fillId="0" borderId="46" xfId="19" applyNumberFormat="1" applyFont="1" applyBorder="1" applyAlignment="1">
      <alignment horizontal="center"/>
    </xf>
    <xf numFmtId="2" fontId="29" fillId="0" borderId="70" xfId="19" applyNumberFormat="1" applyFont="1" applyBorder="1" applyAlignment="1">
      <alignment horizontal="center"/>
    </xf>
    <xf numFmtId="10" fontId="30" fillId="0" borderId="46" xfId="21" applyNumberFormat="1" applyFont="1" applyBorder="1" applyAlignment="1">
      <alignment horizontal="center"/>
    </xf>
    <xf numFmtId="10" fontId="30" fillId="0" borderId="70" xfId="21" applyNumberFormat="1" applyFont="1" applyBorder="1" applyAlignment="1">
      <alignment horizontal="center"/>
    </xf>
    <xf numFmtId="2" fontId="30" fillId="0" borderId="0" xfId="19" applyNumberFormat="1" applyFont="1" applyBorder="1"/>
    <xf numFmtId="0" fontId="30" fillId="0" borderId="62" xfId="19" applyFont="1" applyBorder="1"/>
    <xf numFmtId="0" fontId="30" fillId="0" borderId="49" xfId="19" applyFont="1" applyBorder="1" applyAlignment="1">
      <alignment horizontal="left"/>
    </xf>
    <xf numFmtId="0" fontId="30" fillId="0" borderId="53" xfId="19" applyFont="1" applyBorder="1" applyAlignment="1">
      <alignment horizontal="left"/>
    </xf>
    <xf numFmtId="0" fontId="30" fillId="0" borderId="57" xfId="19" applyFont="1" applyBorder="1" applyAlignment="1">
      <alignment horizontal="left"/>
    </xf>
    <xf numFmtId="0" fontId="30" fillId="0" borderId="53" xfId="19" applyFont="1" applyBorder="1" applyAlignment="1">
      <alignment horizontal="center"/>
    </xf>
    <xf numFmtId="0" fontId="30" fillId="0" borderId="57" xfId="19" applyFont="1" applyBorder="1" applyAlignment="1">
      <alignment horizontal="center"/>
    </xf>
    <xf numFmtId="0" fontId="30" fillId="0" borderId="21" xfId="19" applyFont="1" applyBorder="1"/>
    <xf numFmtId="0" fontId="29" fillId="0" borderId="21" xfId="19" applyFont="1" applyFill="1" applyBorder="1"/>
    <xf numFmtId="0" fontId="29" fillId="0" borderId="29" xfId="19" applyFont="1" applyFill="1" applyBorder="1" applyAlignment="1">
      <alignment horizontal="left"/>
    </xf>
    <xf numFmtId="0" fontId="29" fillId="0" borderId="33" xfId="19" applyFont="1" applyFill="1" applyBorder="1" applyAlignment="1">
      <alignment horizontal="left"/>
    </xf>
    <xf numFmtId="0" fontId="29" fillId="0" borderId="60" xfId="19" applyFont="1" applyFill="1" applyBorder="1" applyAlignment="1">
      <alignment horizontal="left"/>
    </xf>
    <xf numFmtId="0" fontId="30" fillId="0" borderId="3" xfId="19" applyFont="1" applyBorder="1"/>
    <xf numFmtId="0" fontId="29" fillId="0" borderId="6" xfId="19" applyFont="1" applyBorder="1" applyAlignment="1">
      <alignment horizontal="left"/>
    </xf>
    <xf numFmtId="0" fontId="29" fillId="0" borderId="36" xfId="19" applyFont="1" applyFill="1" applyBorder="1" applyAlignment="1">
      <alignment horizontal="left"/>
    </xf>
    <xf numFmtId="0" fontId="29" fillId="0" borderId="67" xfId="19" applyFont="1" applyFill="1" applyBorder="1" applyAlignment="1">
      <alignment horizontal="left"/>
    </xf>
    <xf numFmtId="0" fontId="30" fillId="0" borderId="67" xfId="19" applyFont="1" applyBorder="1" applyAlignment="1">
      <alignment horizontal="center"/>
    </xf>
    <xf numFmtId="0" fontId="30" fillId="0" borderId="6" xfId="19" applyFont="1" applyBorder="1" applyAlignment="1">
      <alignment horizontal="left"/>
    </xf>
    <xf numFmtId="2" fontId="29" fillId="0" borderId="67" xfId="19" applyNumberFormat="1" applyFont="1" applyFill="1" applyBorder="1" applyAlignment="1">
      <alignment horizontal="center"/>
    </xf>
    <xf numFmtId="0" fontId="30" fillId="0" borderId="3" xfId="19" applyFont="1" applyFill="1" applyBorder="1"/>
    <xf numFmtId="0" fontId="30" fillId="0" borderId="3" xfId="19" applyFont="1" applyBorder="1" applyAlignment="1">
      <alignment wrapText="1"/>
    </xf>
    <xf numFmtId="0" fontId="30" fillId="0" borderId="18" xfId="19" applyFont="1" applyFill="1" applyBorder="1"/>
    <xf numFmtId="0" fontId="30" fillId="0" borderId="18" xfId="19" applyFont="1" applyBorder="1"/>
    <xf numFmtId="10" fontId="29" fillId="0" borderId="46" xfId="21" applyNumberFormat="1" applyFont="1" applyBorder="1" applyAlignment="1">
      <alignment horizontal="center"/>
    </xf>
    <xf numFmtId="10" fontId="29" fillId="0" borderId="70" xfId="21" applyNumberFormat="1" applyFont="1" applyBorder="1" applyAlignment="1">
      <alignment horizontal="center"/>
    </xf>
    <xf numFmtId="0" fontId="29" fillId="0" borderId="11" xfId="19" applyFont="1" applyBorder="1" applyAlignment="1">
      <alignment horizontal="center"/>
    </xf>
    <xf numFmtId="0" fontId="30" fillId="0" borderId="12" xfId="19" applyFont="1" applyBorder="1"/>
    <xf numFmtId="0" fontId="29" fillId="0" borderId="61" xfId="19" applyFont="1" applyBorder="1" applyAlignment="1">
      <alignment horizontal="left"/>
    </xf>
    <xf numFmtId="0" fontId="29" fillId="0" borderId="64" xfId="19" applyFont="1" applyBorder="1" applyAlignment="1">
      <alignment horizontal="left"/>
    </xf>
    <xf numFmtId="0" fontId="29" fillId="0" borderId="31" xfId="19" applyFont="1" applyBorder="1" applyAlignment="1">
      <alignment horizontal="left"/>
    </xf>
    <xf numFmtId="10" fontId="30" fillId="0" borderId="44" xfId="21" applyNumberFormat="1" applyFont="1" applyBorder="1" applyAlignment="1">
      <alignment horizontal="center"/>
    </xf>
    <xf numFmtId="2" fontId="30" fillId="0" borderId="65" xfId="19" applyNumberFormat="1" applyFont="1" applyBorder="1" applyAlignment="1">
      <alignment horizontal="center"/>
    </xf>
    <xf numFmtId="0" fontId="29" fillId="0" borderId="5" xfId="19" applyFont="1" applyBorder="1" applyAlignment="1">
      <alignment horizontal="center" vertical="top"/>
    </xf>
    <xf numFmtId="0" fontId="29" fillId="0" borderId="6" xfId="19" applyFont="1" applyBorder="1" applyAlignment="1">
      <alignment horizontal="left" wrapText="1"/>
    </xf>
    <xf numFmtId="2" fontId="29" fillId="0" borderId="43" xfId="19" applyNumberFormat="1" applyFont="1" applyBorder="1" applyAlignment="1">
      <alignment horizontal="center" wrapText="1"/>
    </xf>
    <xf numFmtId="2" fontId="30" fillId="0" borderId="46" xfId="19" applyNumberFormat="1" applyFont="1" applyBorder="1" applyAlignment="1">
      <alignment horizontal="center" vertical="top"/>
    </xf>
    <xf numFmtId="0" fontId="29" fillId="0" borderId="34" xfId="19" applyFont="1" applyBorder="1" applyAlignment="1">
      <alignment horizontal="left"/>
    </xf>
    <xf numFmtId="0" fontId="30" fillId="0" borderId="65" xfId="19" applyFont="1" applyBorder="1" applyAlignment="1">
      <alignment horizontal="center"/>
    </xf>
    <xf numFmtId="2" fontId="30" fillId="0" borderId="44" xfId="19" applyNumberFormat="1" applyFont="1" applyBorder="1" applyAlignment="1">
      <alignment horizontal="center"/>
    </xf>
    <xf numFmtId="0" fontId="29" fillId="0" borderId="18" xfId="19" applyFont="1" applyBorder="1"/>
    <xf numFmtId="2" fontId="29" fillId="0" borderId="69" xfId="19" applyNumberFormat="1" applyFont="1" applyBorder="1" applyAlignment="1">
      <alignment horizontal="left"/>
    </xf>
    <xf numFmtId="2" fontId="30" fillId="0" borderId="46" xfId="19" applyNumberFormat="1" applyFont="1" applyBorder="1" applyAlignment="1">
      <alignment horizontal="center"/>
    </xf>
    <xf numFmtId="0" fontId="30" fillId="0" borderId="46" xfId="19" applyFont="1" applyBorder="1" applyAlignment="1">
      <alignment horizontal="center"/>
    </xf>
    <xf numFmtId="0" fontId="30" fillId="0" borderId="70" xfId="19" applyFont="1" applyBorder="1" applyAlignment="1">
      <alignment horizontal="center"/>
    </xf>
    <xf numFmtId="2" fontId="29" fillId="0" borderId="0" xfId="19" applyNumberFormat="1" applyFont="1" applyBorder="1" applyAlignment="1">
      <alignment horizontal="left"/>
    </xf>
    <xf numFmtId="2" fontId="100" fillId="6" borderId="0" xfId="19" applyNumberFormat="1" applyFont="1" applyFill="1" applyBorder="1" applyAlignment="1">
      <alignment horizontal="left"/>
    </xf>
    <xf numFmtId="0" fontId="5" fillId="0" borderId="0" xfId="24"/>
    <xf numFmtId="0" fontId="95" fillId="0" borderId="0" xfId="24" applyFont="1" applyAlignment="1">
      <alignment horizontal="right" wrapText="1"/>
    </xf>
    <xf numFmtId="0" fontId="5" fillId="0" borderId="0" xfId="24" applyFont="1"/>
    <xf numFmtId="164" fontId="5" fillId="0" borderId="0" xfId="24" applyNumberFormat="1"/>
    <xf numFmtId="164" fontId="5" fillId="0" borderId="0" xfId="5" applyFont="1"/>
    <xf numFmtId="0" fontId="102" fillId="0" borderId="0" xfId="0" applyFont="1" applyAlignment="1">
      <alignment horizontal="right" vertical="center" wrapText="1"/>
    </xf>
    <xf numFmtId="1" fontId="69" fillId="3" borderId="3" xfId="11" applyNumberFormat="1" applyFont="1" applyFill="1" applyBorder="1"/>
    <xf numFmtId="1" fontId="29" fillId="0" borderId="36" xfId="19" applyNumberFormat="1" applyFont="1" applyFill="1" applyBorder="1" applyAlignment="1">
      <alignment horizontal="center"/>
    </xf>
    <xf numFmtId="10" fontId="35" fillId="0" borderId="46" xfId="21" applyNumberFormat="1" applyFont="1" applyFill="1" applyBorder="1" applyAlignment="1">
      <alignment horizontal="center"/>
    </xf>
    <xf numFmtId="9" fontId="35" fillId="0" borderId="70" xfId="21" applyFont="1" applyFill="1" applyBorder="1" applyAlignment="1">
      <alignment horizontal="center"/>
    </xf>
    <xf numFmtId="0" fontId="10" fillId="0" borderId="0" xfId="13" applyAlignment="1">
      <alignment horizontal="center"/>
    </xf>
    <xf numFmtId="0" fontId="49" fillId="0" borderId="3" xfId="13" applyFont="1" applyBorder="1" applyAlignment="1">
      <alignment horizontal="center" wrapText="1"/>
    </xf>
    <xf numFmtId="0" fontId="4" fillId="0" borderId="0" xfId="13" applyFont="1"/>
    <xf numFmtId="0" fontId="104" fillId="0" borderId="0" xfId="13" applyFont="1"/>
    <xf numFmtId="0" fontId="4" fillId="0" borderId="3" xfId="13" applyFont="1" applyBorder="1"/>
    <xf numFmtId="2" fontId="4" fillId="0" borderId="3" xfId="13" applyNumberFormat="1" applyFont="1" applyBorder="1"/>
    <xf numFmtId="2" fontId="10" fillId="0" borderId="0" xfId="13" applyNumberFormat="1"/>
    <xf numFmtId="2" fontId="22" fillId="0" borderId="0" xfId="13" applyNumberFormat="1" applyFont="1"/>
    <xf numFmtId="0" fontId="105" fillId="0" borderId="0" xfId="0" applyFont="1" applyAlignment="1">
      <alignment horizontal="left" vertical="center" wrapText="1"/>
    </xf>
    <xf numFmtId="0" fontId="105" fillId="0" borderId="0" xfId="0" applyFont="1" applyAlignment="1">
      <alignment horizontal="right" vertical="center" wrapText="1"/>
    </xf>
    <xf numFmtId="0" fontId="109" fillId="0" borderId="0" xfId="0" applyFont="1" applyAlignment="1">
      <alignment horizontal="right" vertical="center" wrapText="1"/>
    </xf>
    <xf numFmtId="0" fontId="0" fillId="0" borderId="0" xfId="0" applyAlignment="1"/>
    <xf numFmtId="0" fontId="103" fillId="0" borderId="0" xfId="0" applyFont="1" applyAlignment="1">
      <alignment vertical="center" wrapText="1"/>
    </xf>
    <xf numFmtId="0" fontId="102" fillId="0" borderId="0" xfId="0" applyFont="1" applyAlignment="1">
      <alignment horizontal="left" vertical="center" wrapText="1"/>
    </xf>
    <xf numFmtId="0" fontId="102" fillId="0" borderId="0" xfId="35" applyFont="1" applyAlignment="1">
      <alignment horizontal="right" vertical="center" wrapText="1"/>
    </xf>
    <xf numFmtId="0" fontId="102" fillId="0" borderId="0" xfId="35" applyFont="1" applyAlignment="1">
      <alignment horizontal="left" vertical="center" wrapText="1"/>
    </xf>
    <xf numFmtId="0" fontId="102" fillId="0" borderId="0" xfId="63" applyFont="1" applyAlignment="1">
      <alignment horizontal="center" vertical="center" wrapText="1"/>
    </xf>
    <xf numFmtId="0" fontId="102" fillId="0" borderId="0" xfId="63" applyFont="1" applyAlignment="1">
      <alignment horizontal="right" vertical="center" wrapText="1"/>
    </xf>
    <xf numFmtId="0" fontId="102" fillId="0" borderId="0" xfId="63" applyFont="1" applyAlignment="1">
      <alignment horizontal="center" vertical="center" wrapText="1"/>
    </xf>
    <xf numFmtId="0" fontId="102" fillId="0" borderId="0" xfId="63" applyFont="1" applyAlignment="1">
      <alignment horizontal="right" vertical="center" wrapText="1"/>
    </xf>
    <xf numFmtId="0" fontId="102" fillId="0" borderId="0" xfId="63" applyFont="1" applyAlignment="1">
      <alignment horizontal="left" vertical="center" wrapText="1"/>
    </xf>
    <xf numFmtId="0" fontId="102" fillId="0" borderId="0" xfId="63" applyFont="1" applyAlignment="1">
      <alignment vertical="center" wrapText="1"/>
    </xf>
    <xf numFmtId="0" fontId="102" fillId="0" borderId="0" xfId="63" applyFont="1" applyAlignment="1">
      <alignment horizontal="right" vertical="center" wrapText="1"/>
    </xf>
    <xf numFmtId="0" fontId="102" fillId="0" borderId="0" xfId="63" applyFont="1" applyAlignment="1">
      <alignment horizontal="right" vertical="center" wrapText="1"/>
    </xf>
    <xf numFmtId="0" fontId="102" fillId="0" borderId="0" xfId="63" applyFont="1" applyAlignment="1">
      <alignment horizontal="left" vertical="center" wrapText="1"/>
    </xf>
    <xf numFmtId="0" fontId="102" fillId="0" borderId="0" xfId="63" applyFont="1" applyAlignment="1">
      <alignment horizontal="center" vertical="center" wrapText="1"/>
    </xf>
    <xf numFmtId="0" fontId="102" fillId="0" borderId="0" xfId="63" applyFont="1" applyAlignment="1">
      <alignment horizontal="right" vertical="center" wrapText="1"/>
    </xf>
    <xf numFmtId="0" fontId="102" fillId="0" borderId="0" xfId="63" applyFont="1" applyAlignment="1">
      <alignment horizontal="left" vertical="center" wrapText="1"/>
    </xf>
    <xf numFmtId="0" fontId="102" fillId="0" borderId="0" xfId="63" applyFont="1" applyAlignment="1">
      <alignment horizontal="center" vertical="center" wrapText="1"/>
    </xf>
    <xf numFmtId="0" fontId="102" fillId="0" borderId="0" xfId="63" applyFont="1" applyAlignment="1">
      <alignment horizontal="right" vertical="center" wrapText="1"/>
    </xf>
    <xf numFmtId="0" fontId="102" fillId="0" borderId="0" xfId="63" applyFont="1" applyAlignment="1">
      <alignment horizontal="left" vertical="center" wrapText="1"/>
    </xf>
    <xf numFmtId="0" fontId="1" fillId="0" borderId="0" xfId="24" applyFont="1"/>
    <xf numFmtId="0" fontId="110" fillId="0" borderId="77" xfId="0" applyFont="1" applyBorder="1" applyAlignment="1">
      <alignment horizontal="right" vertical="center" wrapText="1"/>
    </xf>
    <xf numFmtId="1" fontId="43" fillId="6" borderId="19" xfId="0" applyNumberFormat="1" applyFont="1" applyFill="1" applyBorder="1"/>
    <xf numFmtId="1" fontId="43" fillId="6" borderId="22" xfId="0" applyNumberFormat="1" applyFont="1" applyFill="1" applyBorder="1"/>
    <xf numFmtId="2" fontId="43" fillId="6" borderId="22" xfId="0" applyNumberFormat="1" applyFont="1" applyFill="1" applyBorder="1"/>
    <xf numFmtId="2" fontId="30" fillId="6" borderId="44" xfId="19" applyNumberFormat="1" applyFont="1" applyFill="1" applyBorder="1" applyAlignment="1">
      <alignment horizontal="center"/>
    </xf>
    <xf numFmtId="2" fontId="29" fillId="6" borderId="44" xfId="19" applyNumberFormat="1" applyFont="1" applyFill="1" applyBorder="1" applyAlignment="1">
      <alignment horizontal="center"/>
    </xf>
    <xf numFmtId="2" fontId="30" fillId="6" borderId="67" xfId="19" applyNumberFormat="1" applyFont="1" applyFill="1" applyBorder="1" applyAlignment="1">
      <alignment horizontal="center"/>
    </xf>
    <xf numFmtId="2" fontId="29" fillId="6" borderId="36" xfId="19" applyNumberFormat="1" applyFont="1" applyFill="1" applyBorder="1" applyAlignment="1">
      <alignment horizontal="center"/>
    </xf>
    <xf numFmtId="0" fontId="106" fillId="0" borderId="0" xfId="0" applyFont="1" applyAlignment="1">
      <alignment horizontal="left" vertical="center" wrapText="1"/>
    </xf>
    <xf numFmtId="0" fontId="106" fillId="0" borderId="0" xfId="0" applyFont="1" applyAlignment="1">
      <alignment horizontal="right" vertical="center" wrapText="1"/>
    </xf>
    <xf numFmtId="0" fontId="109" fillId="0" borderId="0" xfId="0" applyFont="1" applyAlignment="1">
      <alignment horizontal="center" vertical="center" wrapText="1"/>
    </xf>
    <xf numFmtId="0" fontId="109" fillId="0" borderId="0" xfId="0" applyFont="1" applyAlignment="1">
      <alignment horizontal="left" vertical="center" wrapText="1"/>
    </xf>
    <xf numFmtId="0" fontId="109" fillId="0" borderId="0" xfId="0" applyFont="1" applyAlignment="1">
      <alignment vertical="center" wrapText="1"/>
    </xf>
    <xf numFmtId="0" fontId="30" fillId="0" borderId="3" xfId="19" applyFont="1" applyBorder="1" applyAlignment="1">
      <alignment vertical="top" wrapText="1"/>
    </xf>
    <xf numFmtId="0" fontId="106" fillId="0" borderId="0" xfId="0" applyFont="1" applyAlignment="1">
      <alignment horizontal="left" vertical="center" wrapText="1"/>
    </xf>
    <xf numFmtId="0" fontId="106" fillId="0" borderId="0" xfId="0" applyFont="1" applyAlignment="1">
      <alignment horizontal="right" vertical="center" wrapText="1"/>
    </xf>
    <xf numFmtId="0" fontId="109" fillId="0" borderId="0" xfId="0" applyFont="1" applyAlignment="1">
      <alignment horizontal="left" vertical="center" wrapText="1"/>
    </xf>
    <xf numFmtId="0" fontId="109" fillId="0" borderId="0" xfId="0" applyFont="1" applyAlignment="1">
      <alignment horizontal="center" vertical="center" wrapText="1"/>
    </xf>
    <xf numFmtId="2" fontId="30" fillId="3" borderId="36" xfId="19" applyNumberFormat="1" applyFont="1" applyFill="1" applyBorder="1" applyAlignment="1">
      <alignment horizontal="center"/>
    </xf>
    <xf numFmtId="164" fontId="40" fillId="0" borderId="7" xfId="5" applyFont="1" applyFill="1" applyBorder="1"/>
    <xf numFmtId="164" fontId="43" fillId="0" borderId="7" xfId="5" applyFont="1" applyFill="1" applyBorder="1"/>
    <xf numFmtId="164" fontId="43" fillId="0" borderId="19" xfId="5" applyFont="1" applyFill="1" applyBorder="1"/>
    <xf numFmtId="0" fontId="25" fillId="0" borderId="8" xfId="0" applyFont="1" applyFill="1" applyBorder="1" applyAlignment="1">
      <alignment horizontal="center" vertical="center"/>
    </xf>
    <xf numFmtId="164" fontId="92" fillId="0" borderId="7" xfId="5" applyNumberFormat="1" applyFont="1" applyFill="1" applyBorder="1" applyAlignment="1">
      <alignment vertical="center"/>
    </xf>
    <xf numFmtId="164" fontId="95" fillId="4" borderId="10" xfId="5" applyNumberFormat="1" applyFont="1" applyFill="1" applyBorder="1" applyAlignment="1">
      <alignment vertical="center"/>
    </xf>
    <xf numFmtId="166" fontId="92" fillId="0" borderId="3" xfId="5" applyNumberFormat="1" applyFont="1" applyFill="1" applyBorder="1" applyAlignment="1">
      <alignment vertical="center"/>
    </xf>
    <xf numFmtId="164" fontId="92" fillId="0" borderId="3" xfId="5" applyNumberFormat="1" applyFont="1" applyFill="1" applyBorder="1" applyAlignment="1">
      <alignment vertical="center"/>
    </xf>
    <xf numFmtId="164" fontId="95" fillId="0" borderId="9" xfId="5" applyNumberFormat="1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164" fontId="29" fillId="0" borderId="0" xfId="0" applyNumberFormat="1" applyFont="1" applyFill="1" applyAlignment="1">
      <alignment vertical="center"/>
    </xf>
    <xf numFmtId="164" fontId="30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4" fontId="30" fillId="0" borderId="0" xfId="0" applyNumberFormat="1" applyFont="1" applyFill="1" applyAlignment="1">
      <alignment vertical="center"/>
    </xf>
    <xf numFmtId="168" fontId="30" fillId="0" borderId="0" xfId="7" applyNumberFormat="1" applyFont="1" applyFill="1" applyAlignment="1">
      <alignment horizontal="center" vertical="center"/>
    </xf>
    <xf numFmtId="17" fontId="30" fillId="0" borderId="0" xfId="0" applyNumberFormat="1" applyFont="1" applyFill="1" applyAlignment="1">
      <alignment vertical="center"/>
    </xf>
    <xf numFmtId="164" fontId="30" fillId="0" borderId="0" xfId="0" applyNumberFormat="1" applyFont="1" applyFill="1" applyAlignment="1">
      <alignment horizontal="center" vertical="center"/>
    </xf>
    <xf numFmtId="168" fontId="24" fillId="0" borderId="0" xfId="0" applyNumberFormat="1" applyFont="1" applyFill="1" applyAlignment="1">
      <alignment vertical="center"/>
    </xf>
    <xf numFmtId="0" fontId="87" fillId="0" borderId="3" xfId="0" applyFont="1" applyFill="1" applyBorder="1" applyAlignment="1">
      <alignment vertical="justify"/>
    </xf>
    <xf numFmtId="0" fontId="88" fillId="0" borderId="3" xfId="0" applyFont="1" applyFill="1" applyBorder="1" applyAlignment="1">
      <alignment vertical="justify"/>
    </xf>
    <xf numFmtId="0" fontId="90" fillId="0" borderId="50" xfId="19" applyFont="1" applyBorder="1" applyAlignment="1">
      <alignment horizontal="left" wrapText="1"/>
    </xf>
    <xf numFmtId="0" fontId="90" fillId="0" borderId="32" xfId="19" applyFont="1" applyBorder="1" applyAlignment="1">
      <alignment horizontal="left" wrapText="1"/>
    </xf>
    <xf numFmtId="0" fontId="90" fillId="0" borderId="51" xfId="19" applyFont="1" applyBorder="1" applyAlignment="1">
      <alignment horizontal="left" wrapText="1"/>
    </xf>
    <xf numFmtId="0" fontId="82" fillId="0" borderId="0" xfId="19" applyFont="1" applyAlignment="1">
      <alignment horizontal="center"/>
    </xf>
    <xf numFmtId="0" fontId="82" fillId="0" borderId="0" xfId="19" applyFont="1" applyAlignment="1">
      <alignment horizontal="center" vertical="center"/>
    </xf>
    <xf numFmtId="0" fontId="83" fillId="0" borderId="0" xfId="19" applyFont="1" applyAlignment="1">
      <alignment horizontal="right"/>
    </xf>
    <xf numFmtId="0" fontId="29" fillId="0" borderId="8" xfId="19" applyFont="1" applyBorder="1" applyAlignment="1">
      <alignment horizontal="center"/>
    </xf>
    <xf numFmtId="0" fontId="29" fillId="0" borderId="10" xfId="19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29" fillId="0" borderId="27" xfId="19" applyFont="1" applyFill="1" applyBorder="1" applyAlignment="1">
      <alignment horizontal="center" wrapText="1"/>
    </xf>
    <xf numFmtId="0" fontId="29" fillId="0" borderId="10" xfId="19" applyFont="1" applyFill="1" applyBorder="1" applyAlignment="1">
      <alignment horizontal="center" wrapText="1"/>
    </xf>
    <xf numFmtId="0" fontId="29" fillId="0" borderId="0" xfId="19" applyFont="1" applyBorder="1" applyAlignment="1">
      <alignment horizontal="left" vertical="top" wrapText="1"/>
    </xf>
    <xf numFmtId="0" fontId="83" fillId="0" borderId="15" xfId="19" applyFont="1" applyBorder="1" applyAlignment="1">
      <alignment horizontal="right"/>
    </xf>
    <xf numFmtId="0" fontId="29" fillId="0" borderId="9" xfId="19" applyFont="1" applyFill="1" applyBorder="1" applyAlignment="1">
      <alignment horizontal="center" wrapText="1"/>
    </xf>
    <xf numFmtId="0" fontId="29" fillId="0" borderId="0" xfId="19" applyFont="1" applyBorder="1" applyAlignment="1">
      <alignment horizontal="left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91" fillId="0" borderId="50" xfId="0" applyFont="1" applyFill="1" applyBorder="1" applyAlignment="1">
      <alignment horizontal="center"/>
    </xf>
    <xf numFmtId="0" fontId="91" fillId="0" borderId="32" xfId="0" applyFont="1" applyFill="1" applyBorder="1" applyAlignment="1">
      <alignment horizontal="center"/>
    </xf>
    <xf numFmtId="0" fontId="91" fillId="0" borderId="51" xfId="0" applyFont="1" applyFill="1" applyBorder="1" applyAlignment="1">
      <alignment horizontal="center"/>
    </xf>
    <xf numFmtId="0" fontId="91" fillId="0" borderId="8" xfId="0" applyFont="1" applyFill="1" applyBorder="1" applyAlignment="1">
      <alignment horizontal="center" wrapText="1"/>
    </xf>
    <xf numFmtId="0" fontId="91" fillId="0" borderId="9" xfId="0" applyFont="1" applyFill="1" applyBorder="1" applyAlignment="1">
      <alignment horizontal="center" wrapText="1"/>
    </xf>
    <xf numFmtId="0" fontId="91" fillId="0" borderId="10" xfId="0" applyFont="1" applyFill="1" applyBorder="1" applyAlignment="1">
      <alignment horizontal="center" wrapText="1"/>
    </xf>
    <xf numFmtId="0" fontId="91" fillId="0" borderId="8" xfId="0" applyFont="1" applyFill="1" applyBorder="1" applyAlignment="1">
      <alignment horizontal="center"/>
    </xf>
    <xf numFmtId="0" fontId="91" fillId="0" borderId="9" xfId="0" applyFont="1" applyFill="1" applyBorder="1" applyAlignment="1">
      <alignment horizontal="center"/>
    </xf>
    <xf numFmtId="0" fontId="91" fillId="0" borderId="48" xfId="0" applyFont="1" applyFill="1" applyBorder="1" applyAlignment="1">
      <alignment horizontal="center"/>
    </xf>
    <xf numFmtId="0" fontId="93" fillId="0" borderId="50" xfId="0" applyFont="1" applyFill="1" applyBorder="1" applyAlignment="1">
      <alignment horizontal="right"/>
    </xf>
    <xf numFmtId="0" fontId="93" fillId="0" borderId="51" xfId="0" applyFont="1" applyFill="1" applyBorder="1" applyAlignment="1">
      <alignment horizontal="right"/>
    </xf>
    <xf numFmtId="0" fontId="43" fillId="0" borderId="8" xfId="0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/>
    </xf>
    <xf numFmtId="0" fontId="43" fillId="0" borderId="8" xfId="0" applyFont="1" applyFill="1" applyBorder="1" applyAlignment="1">
      <alignment horizontal="center" wrapText="1"/>
    </xf>
    <xf numFmtId="0" fontId="43" fillId="0" borderId="10" xfId="0" applyFont="1" applyFill="1" applyBorder="1" applyAlignment="1">
      <alignment horizontal="center" wrapText="1"/>
    </xf>
    <xf numFmtId="0" fontId="93" fillId="0" borderId="50" xfId="0" applyFont="1" applyFill="1" applyBorder="1" applyAlignment="1">
      <alignment horizontal="right" vertical="center"/>
    </xf>
    <xf numFmtId="0" fontId="93" fillId="0" borderId="51" xfId="0" applyFont="1" applyFill="1" applyBorder="1" applyAlignment="1">
      <alignment horizontal="right" vertical="center"/>
    </xf>
    <xf numFmtId="0" fontId="91" fillId="0" borderId="0" xfId="0" applyFont="1" applyAlignment="1">
      <alignment horizontal="center"/>
    </xf>
    <xf numFmtId="0" fontId="93" fillId="0" borderId="0" xfId="0" applyFont="1" applyFill="1" applyAlignment="1">
      <alignment horizontal="right"/>
    </xf>
    <xf numFmtId="0" fontId="43" fillId="0" borderId="27" xfId="0" applyFont="1" applyFill="1" applyBorder="1" applyAlignment="1">
      <alignment horizontal="center" wrapText="1"/>
    </xf>
    <xf numFmtId="0" fontId="40" fillId="0" borderId="8" xfId="0" applyFont="1" applyFill="1" applyBorder="1" applyAlignment="1">
      <alignment horizontal="center" wrapText="1"/>
    </xf>
    <xf numFmtId="0" fontId="40" fillId="0" borderId="10" xfId="0" applyFont="1" applyFill="1" applyBorder="1" applyAlignment="1">
      <alignment horizontal="center" wrapText="1"/>
    </xf>
    <xf numFmtId="0" fontId="113" fillId="0" borderId="50" xfId="19" applyFont="1" applyBorder="1" applyAlignment="1">
      <alignment horizontal="left" wrapText="1"/>
    </xf>
    <xf numFmtId="0" fontId="113" fillId="0" borderId="32" xfId="19" applyFont="1" applyBorder="1" applyAlignment="1">
      <alignment horizontal="left" wrapText="1"/>
    </xf>
    <xf numFmtId="0" fontId="113" fillId="0" borderId="51" xfId="19" applyFont="1" applyBorder="1" applyAlignment="1">
      <alignment horizontal="left" wrapText="1"/>
    </xf>
    <xf numFmtId="0" fontId="113" fillId="0" borderId="50" xfId="19" applyFont="1" applyBorder="1" applyAlignment="1">
      <alignment horizontal="left" vertical="top" wrapText="1"/>
    </xf>
    <xf numFmtId="0" fontId="113" fillId="0" borderId="32" xfId="19" applyFont="1" applyBorder="1" applyAlignment="1">
      <alignment horizontal="left" vertical="top" wrapText="1"/>
    </xf>
    <xf numFmtId="0" fontId="113" fillId="0" borderId="51" xfId="19" applyFont="1" applyBorder="1" applyAlignment="1">
      <alignment horizontal="left" vertical="top" wrapText="1"/>
    </xf>
    <xf numFmtId="0" fontId="29" fillId="0" borderId="0" xfId="19" applyFont="1" applyAlignment="1">
      <alignment horizontal="center"/>
    </xf>
    <xf numFmtId="0" fontId="29" fillId="0" borderId="0" xfId="19" applyFont="1" applyAlignment="1">
      <alignment horizontal="right"/>
    </xf>
    <xf numFmtId="0" fontId="29" fillId="0" borderId="15" xfId="19" applyFont="1" applyBorder="1" applyAlignment="1">
      <alignment horizontal="right" vertical="center"/>
    </xf>
    <xf numFmtId="0" fontId="29" fillId="0" borderId="27" xfId="19" applyFont="1" applyBorder="1" applyAlignment="1">
      <alignment horizontal="center" wrapText="1"/>
    </xf>
    <xf numFmtId="0" fontId="29" fillId="0" borderId="10" xfId="19" applyFont="1" applyBorder="1" applyAlignment="1">
      <alignment horizontal="center" wrapText="1"/>
    </xf>
    <xf numFmtId="0" fontId="112" fillId="0" borderId="0" xfId="0" applyFont="1" applyAlignment="1">
      <alignment vertical="center" wrapText="1"/>
    </xf>
    <xf numFmtId="0" fontId="106" fillId="0" borderId="0" xfId="0" applyFont="1" applyAlignment="1">
      <alignment horizontal="center" vertical="center" wrapText="1"/>
    </xf>
    <xf numFmtId="0" fontId="106" fillId="0" borderId="0" xfId="0" applyFont="1" applyAlignment="1">
      <alignment horizontal="left" vertical="center" wrapText="1"/>
    </xf>
    <xf numFmtId="0" fontId="106" fillId="0" borderId="0" xfId="0" applyFont="1" applyAlignment="1">
      <alignment horizontal="right" vertical="center" wrapText="1"/>
    </xf>
    <xf numFmtId="0" fontId="111" fillId="0" borderId="0" xfId="0" applyFont="1" applyAlignment="1">
      <alignment vertical="center" wrapText="1"/>
    </xf>
    <xf numFmtId="0" fontId="108" fillId="0" borderId="0" xfId="0" applyFont="1" applyAlignment="1">
      <alignment horizontal="center" vertical="center" wrapText="1"/>
    </xf>
    <xf numFmtId="0" fontId="101" fillId="0" borderId="0" xfId="0" applyFont="1" applyAlignment="1">
      <alignment vertical="center" wrapText="1"/>
    </xf>
    <xf numFmtId="0" fontId="101" fillId="0" borderId="0" xfId="0" applyFont="1" applyAlignment="1">
      <alignment horizontal="left" vertical="center" wrapText="1"/>
    </xf>
    <xf numFmtId="0" fontId="101" fillId="0" borderId="0" xfId="0" applyFont="1" applyAlignment="1">
      <alignment horizontal="right" vertical="center" wrapText="1"/>
    </xf>
    <xf numFmtId="0" fontId="109" fillId="0" borderId="0" xfId="0" applyFont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0" fontId="109" fillId="0" borderId="0" xfId="0" applyFont="1" applyAlignment="1">
      <alignment horizontal="left" vertical="center" wrapText="1"/>
    </xf>
    <xf numFmtId="17" fontId="40" fillId="0" borderId="3" xfId="11" applyNumberFormat="1" applyFont="1" applyBorder="1" applyAlignment="1">
      <alignment horizontal="center"/>
    </xf>
    <xf numFmtId="0" fontId="40" fillId="0" borderId="3" xfId="11" applyFont="1" applyBorder="1" applyAlignment="1">
      <alignment horizontal="center"/>
    </xf>
    <xf numFmtId="0" fontId="43" fillId="0" borderId="49" xfId="11" applyFont="1" applyBorder="1" applyAlignment="1">
      <alignment horizontal="center"/>
    </xf>
    <xf numFmtId="0" fontId="43" fillId="0" borderId="0" xfId="11" applyFont="1" applyBorder="1" applyAlignment="1">
      <alignment horizontal="center"/>
    </xf>
    <xf numFmtId="0" fontId="40" fillId="3" borderId="6" xfId="11" applyFont="1" applyFill="1" applyBorder="1" applyAlignment="1">
      <alignment horizontal="center"/>
    </xf>
    <xf numFmtId="0" fontId="40" fillId="3" borderId="25" xfId="11" applyFont="1" applyFill="1" applyBorder="1" applyAlignment="1">
      <alignment horizontal="center"/>
    </xf>
    <xf numFmtId="0" fontId="40" fillId="3" borderId="0" xfId="11" applyFont="1" applyFill="1" applyBorder="1" applyAlignment="1">
      <alignment horizontal="center"/>
    </xf>
    <xf numFmtId="0" fontId="40" fillId="3" borderId="3" xfId="11" applyFont="1" applyFill="1" applyBorder="1" applyAlignment="1">
      <alignment horizontal="center"/>
    </xf>
    <xf numFmtId="0" fontId="103" fillId="0" borderId="0" xfId="0" applyFont="1" applyAlignment="1">
      <alignment vertical="center" wrapText="1"/>
    </xf>
    <xf numFmtId="0" fontId="102" fillId="0" borderId="0" xfId="0" applyFont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3" fillId="0" borderId="0" xfId="0" applyFont="1" applyAlignment="1">
      <alignment horizontal="left" vertical="center" wrapText="1"/>
    </xf>
    <xf numFmtId="0" fontId="103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102" fillId="0" borderId="0" xfId="0" applyFont="1" applyAlignment="1">
      <alignment horizontal="left" vertical="center" wrapText="1"/>
    </xf>
    <xf numFmtId="0" fontId="62" fillId="0" borderId="57" xfId="18" applyFont="1" applyBorder="1" applyAlignment="1">
      <alignment horizontal="center" vertical="center"/>
    </xf>
    <xf numFmtId="0" fontId="62" fillId="0" borderId="31" xfId="18" applyFont="1" applyBorder="1" applyAlignment="1">
      <alignment horizontal="center" vertical="center"/>
    </xf>
    <xf numFmtId="0" fontId="81" fillId="9" borderId="53" xfId="0" applyFont="1" applyFill="1" applyBorder="1" applyAlignment="1">
      <alignment horizontal="center" vertical="center"/>
    </xf>
    <xf numFmtId="0" fontId="81" fillId="9" borderId="52" xfId="0" applyFont="1" applyFill="1" applyBorder="1" applyAlignment="1">
      <alignment horizontal="center" vertical="center"/>
    </xf>
    <xf numFmtId="0" fontId="81" fillId="9" borderId="53" xfId="0" applyFont="1" applyFill="1" applyBorder="1" applyAlignment="1">
      <alignment horizontal="center" vertical="center" wrapText="1"/>
    </xf>
    <xf numFmtId="0" fontId="81" fillId="9" borderId="52" xfId="0" applyFont="1" applyFill="1" applyBorder="1" applyAlignment="1">
      <alignment horizontal="center" vertical="center" wrapText="1"/>
    </xf>
    <xf numFmtId="0" fontId="62" fillId="0" borderId="53" xfId="18" applyFont="1" applyBorder="1" applyAlignment="1">
      <alignment vertical="center" wrapText="1"/>
    </xf>
    <xf numFmtId="0" fontId="62" fillId="0" borderId="52" xfId="18" applyFont="1" applyBorder="1" applyAlignment="1">
      <alignment vertical="center" wrapText="1"/>
    </xf>
    <xf numFmtId="0" fontId="62" fillId="0" borderId="53" xfId="18" applyFont="1" applyBorder="1" applyAlignment="1">
      <alignment horizontal="center" vertical="center"/>
    </xf>
    <xf numFmtId="0" fontId="62" fillId="0" borderId="52" xfId="18" applyFont="1" applyBorder="1" applyAlignment="1">
      <alignment horizontal="center" vertical="center"/>
    </xf>
    <xf numFmtId="0" fontId="62" fillId="0" borderId="53" xfId="18" applyFont="1" applyBorder="1" applyAlignment="1">
      <alignment horizontal="center" vertical="center" wrapText="1"/>
    </xf>
    <xf numFmtId="0" fontId="62" fillId="0" borderId="52" xfId="18" applyFont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1" fontId="19" fillId="0" borderId="14" xfId="0" applyNumberFormat="1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49" fillId="0" borderId="0" xfId="15" applyFont="1" applyAlignment="1">
      <alignment horizontal="left" vertical="top" wrapText="1"/>
    </xf>
    <xf numFmtId="0" fontId="37" fillId="0" borderId="3" xfId="15" applyFont="1" applyBorder="1" applyAlignment="1">
      <alignment horizontal="center" vertical="center"/>
    </xf>
    <xf numFmtId="0" fontId="36" fillId="0" borderId="3" xfId="15" applyFont="1" applyBorder="1" applyAlignment="1">
      <alignment horizontal="center" vertical="center" wrapText="1"/>
    </xf>
    <xf numFmtId="171" fontId="26" fillId="0" borderId="3" xfId="15" applyNumberFormat="1" applyFont="1" applyBorder="1" applyAlignment="1">
      <alignment vertical="center"/>
    </xf>
    <xf numFmtId="0" fontId="26" fillId="0" borderId="3" xfId="15" applyFont="1" applyBorder="1" applyAlignment="1">
      <alignment vertical="center"/>
    </xf>
    <xf numFmtId="171" fontId="26" fillId="0" borderId="3" xfId="15" applyNumberFormat="1" applyFont="1" applyBorder="1" applyAlignment="1">
      <alignment horizontal="right" vertical="center"/>
    </xf>
    <xf numFmtId="0" fontId="26" fillId="0" borderId="3" xfId="15" applyFont="1" applyBorder="1" applyAlignment="1">
      <alignment horizontal="right" vertical="center"/>
    </xf>
    <xf numFmtId="4" fontId="26" fillId="0" borderId="3" xfId="15" applyNumberFormat="1" applyFont="1" applyBorder="1" applyAlignment="1">
      <alignment horizontal="right" vertical="center"/>
    </xf>
    <xf numFmtId="0" fontId="18" fillId="7" borderId="0" xfId="15" applyFont="1" applyFill="1" applyAlignment="1">
      <alignment horizontal="left"/>
    </xf>
    <xf numFmtId="171" fontId="48" fillId="0" borderId="0" xfId="15" applyNumberFormat="1" applyFont="1" applyBorder="1" applyAlignment="1">
      <alignment horizontal="right" vertical="center"/>
    </xf>
    <xf numFmtId="4" fontId="48" fillId="0" borderId="0" xfId="15" applyNumberFormat="1" applyFont="1" applyBorder="1" applyAlignment="1">
      <alignment horizontal="right" vertical="center"/>
    </xf>
    <xf numFmtId="0" fontId="52" fillId="0" borderId="0" xfId="11" applyFont="1" applyAlignment="1">
      <alignment horizontal="center" vertical="center"/>
    </xf>
    <xf numFmtId="0" fontId="49" fillId="0" borderId="0" xfId="17" applyFont="1" applyAlignment="1">
      <alignment horizontal="left" vertical="top" wrapText="1"/>
    </xf>
    <xf numFmtId="0" fontId="37" fillId="0" borderId="3" xfId="17" applyFont="1" applyBorder="1" applyAlignment="1">
      <alignment horizontal="center" vertical="center"/>
    </xf>
    <xf numFmtId="0" fontId="36" fillId="0" borderId="3" xfId="17" applyFont="1" applyBorder="1" applyAlignment="1">
      <alignment horizontal="center" vertical="center" wrapText="1"/>
    </xf>
    <xf numFmtId="171" fontId="26" fillId="0" borderId="3" xfId="17" applyNumberFormat="1" applyFont="1" applyBorder="1" applyAlignment="1">
      <alignment vertical="center"/>
    </xf>
    <xf numFmtId="0" fontId="26" fillId="0" borderId="3" xfId="17" applyFont="1" applyBorder="1" applyAlignment="1">
      <alignment vertical="center"/>
    </xf>
    <xf numFmtId="171" fontId="26" fillId="0" borderId="3" xfId="17" applyNumberFormat="1" applyFont="1" applyBorder="1" applyAlignment="1">
      <alignment horizontal="right" vertical="center"/>
    </xf>
    <xf numFmtId="0" fontId="26" fillId="0" borderId="3" xfId="17" applyFont="1" applyBorder="1" applyAlignment="1">
      <alignment horizontal="right" vertical="center"/>
    </xf>
    <xf numFmtId="4" fontId="26" fillId="0" borderId="3" xfId="17" applyNumberFormat="1" applyFont="1" applyBorder="1" applyAlignment="1">
      <alignment horizontal="right" vertical="center"/>
    </xf>
    <xf numFmtId="0" fontId="18" fillId="7" borderId="0" xfId="17" applyFont="1" applyFill="1" applyAlignment="1">
      <alignment horizontal="left"/>
    </xf>
    <xf numFmtId="171" fontId="48" fillId="0" borderId="0" xfId="17" applyNumberFormat="1" applyFont="1" applyBorder="1" applyAlignment="1">
      <alignment horizontal="right" vertical="center"/>
    </xf>
    <xf numFmtId="4" fontId="48" fillId="0" borderId="0" xfId="17" applyNumberFormat="1" applyFont="1" applyBorder="1" applyAlignment="1">
      <alignment horizontal="right" vertical="center"/>
    </xf>
    <xf numFmtId="0" fontId="10" fillId="0" borderId="0" xfId="13" applyAlignment="1">
      <alignment horizontal="center"/>
    </xf>
    <xf numFmtId="0" fontId="4" fillId="0" borderId="0" xfId="13" applyFont="1" applyAlignment="1">
      <alignment horizontal="center"/>
    </xf>
    <xf numFmtId="0" fontId="74" fillId="0" borderId="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71" fillId="0" borderId="1" xfId="0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/>
    </xf>
    <xf numFmtId="0" fontId="71" fillId="0" borderId="57" xfId="0" applyFont="1" applyFill="1" applyBorder="1" applyAlignment="1">
      <alignment horizontal="center" vertical="center"/>
    </xf>
    <xf numFmtId="0" fontId="71" fillId="0" borderId="4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0" fontId="71" fillId="0" borderId="31" xfId="0" applyFont="1" applyFill="1" applyBorder="1" applyAlignment="1">
      <alignment horizontal="center" vertical="center"/>
    </xf>
    <xf numFmtId="0" fontId="73" fillId="0" borderId="9" xfId="0" applyFont="1" applyFill="1" applyBorder="1" applyAlignment="1">
      <alignment vertical="center" wrapText="1"/>
    </xf>
    <xf numFmtId="0" fontId="73" fillId="0" borderId="8" xfId="0" applyFont="1" applyFill="1" applyBorder="1" applyAlignment="1">
      <alignment horizontal="center" vertical="center" wrapText="1"/>
    </xf>
    <xf numFmtId="0" fontId="73" fillId="0" borderId="9" xfId="0" applyFont="1" applyFill="1" applyBorder="1" applyAlignment="1">
      <alignment horizontal="center" vertical="center" wrapText="1"/>
    </xf>
    <xf numFmtId="0" fontId="73" fillId="0" borderId="10" xfId="0" applyFont="1" applyFill="1" applyBorder="1" applyAlignment="1">
      <alignment horizontal="center" vertical="center" wrapText="1"/>
    </xf>
    <xf numFmtId="0" fontId="74" fillId="0" borderId="25" xfId="0" applyFont="1" applyFill="1" applyBorder="1" applyAlignment="1">
      <alignment horizontal="center" vertical="center" wrapText="1"/>
    </xf>
    <xf numFmtId="0" fontId="57" fillId="0" borderId="0" xfId="12" applyFont="1" applyAlignment="1">
      <alignment horizontal="center" vertical="center"/>
    </xf>
    <xf numFmtId="0" fontId="49" fillId="0" borderId="0" xfId="8" applyFont="1" applyAlignment="1">
      <alignment horizontal="left" vertical="top" wrapText="1"/>
    </xf>
    <xf numFmtId="0" fontId="37" fillId="0" borderId="3" xfId="8" applyFont="1" applyBorder="1" applyAlignment="1">
      <alignment horizontal="center" vertical="center"/>
    </xf>
    <xf numFmtId="0" fontId="36" fillId="0" borderId="3" xfId="8" applyFont="1" applyBorder="1" applyAlignment="1">
      <alignment horizontal="center" vertical="center" wrapText="1"/>
    </xf>
    <xf numFmtId="171" fontId="26" fillId="0" borderId="3" xfId="8" applyNumberFormat="1" applyFont="1" applyBorder="1" applyAlignment="1">
      <alignment vertical="center"/>
    </xf>
    <xf numFmtId="0" fontId="26" fillId="0" borderId="3" xfId="8" applyFont="1" applyBorder="1" applyAlignment="1">
      <alignment vertical="center"/>
    </xf>
    <xf numFmtId="171" fontId="26" fillId="0" borderId="3" xfId="8" applyNumberFormat="1" applyFont="1" applyBorder="1" applyAlignment="1">
      <alignment horizontal="right" vertical="center"/>
    </xf>
    <xf numFmtId="0" fontId="26" fillId="0" borderId="3" xfId="8" applyFont="1" applyBorder="1" applyAlignment="1">
      <alignment horizontal="right" vertical="center"/>
    </xf>
    <xf numFmtId="4" fontId="26" fillId="0" borderId="3" xfId="8" applyNumberFormat="1" applyFont="1" applyBorder="1" applyAlignment="1">
      <alignment horizontal="right" vertical="center"/>
    </xf>
    <xf numFmtId="0" fontId="18" fillId="7" borderId="0" xfId="8" applyFont="1" applyFill="1" applyAlignment="1">
      <alignment horizontal="left"/>
    </xf>
    <xf numFmtId="171" fontId="48" fillId="0" borderId="0" xfId="8" applyNumberFormat="1" applyFont="1" applyBorder="1" applyAlignment="1">
      <alignment horizontal="right" vertical="center"/>
    </xf>
    <xf numFmtId="4" fontId="48" fillId="0" borderId="0" xfId="8" applyNumberFormat="1" applyFont="1" applyBorder="1" applyAlignment="1">
      <alignment horizontal="right" vertical="center"/>
    </xf>
    <xf numFmtId="0" fontId="66" fillId="0" borderId="53" xfId="0" applyFont="1" applyBorder="1" applyAlignment="1">
      <alignment horizontal="center"/>
    </xf>
    <xf numFmtId="0" fontId="66" fillId="0" borderId="52" xfId="0" applyFont="1" applyBorder="1" applyAlignment="1">
      <alignment horizontal="center"/>
    </xf>
    <xf numFmtId="0" fontId="66" fillId="0" borderId="50" xfId="0" applyFont="1" applyBorder="1" applyAlignment="1">
      <alignment horizontal="center"/>
    </xf>
    <xf numFmtId="0" fontId="66" fillId="0" borderId="51" xfId="0" applyFont="1" applyBorder="1" applyAlignment="1">
      <alignment horizontal="center"/>
    </xf>
    <xf numFmtId="0" fontId="61" fillId="0" borderId="50" xfId="0" applyFont="1" applyBorder="1"/>
    <xf numFmtId="0" fontId="61" fillId="0" borderId="32" xfId="0" applyFont="1" applyBorder="1"/>
    <xf numFmtId="0" fontId="63" fillId="0" borderId="50" xfId="0" applyFont="1" applyBorder="1" applyAlignment="1">
      <alignment horizontal="right"/>
    </xf>
    <xf numFmtId="0" fontId="63" fillId="0" borderId="32" xfId="0" applyFont="1" applyBorder="1" applyAlignment="1">
      <alignment horizontal="right"/>
    </xf>
    <xf numFmtId="0" fontId="64" fillId="0" borderId="53" xfId="0" applyFont="1" applyBorder="1" applyAlignment="1">
      <alignment horizontal="center" wrapText="1"/>
    </xf>
    <xf numFmtId="0" fontId="64" fillId="0" borderId="52" xfId="0" applyFont="1" applyBorder="1" applyAlignment="1">
      <alignment horizontal="center" wrapText="1"/>
    </xf>
    <xf numFmtId="0" fontId="64" fillId="0" borderId="50" xfId="0" applyFont="1" applyBorder="1" applyAlignment="1">
      <alignment horizontal="center" wrapText="1"/>
    </xf>
    <xf numFmtId="0" fontId="64" fillId="0" borderId="51" xfId="0" applyFont="1" applyBorder="1" applyAlignment="1">
      <alignment horizontal="center" wrapText="1"/>
    </xf>
  </cellXfs>
  <cellStyles count="68">
    <cellStyle name="Comma 2" xfId="5"/>
    <cellStyle name="Comma 2 4" xfId="6"/>
    <cellStyle name="Comma 3" xfId="16"/>
    <cellStyle name="Normal" xfId="0" builtinId="0"/>
    <cellStyle name="Normal 10" xfId="15"/>
    <cellStyle name="Normal 10 2" xfId="35"/>
    <cellStyle name="Normal 10 2 2" xfId="63"/>
    <cellStyle name="Normal 10 3" xfId="50"/>
    <cellStyle name="Normal 11" xfId="17"/>
    <cellStyle name="Normal 11 2" xfId="36"/>
    <cellStyle name="Normal 11 2 2" xfId="64"/>
    <cellStyle name="Normal 11 3" xfId="51"/>
    <cellStyle name="Normal 12" xfId="25"/>
    <cellStyle name="Normal 12 2" xfId="55"/>
    <cellStyle name="Normal 13" xfId="18"/>
    <cellStyle name="Normal 13 2" xfId="37"/>
    <cellStyle name="Normal 13 2 2" xfId="65"/>
    <cellStyle name="Normal 13 3" xfId="52"/>
    <cellStyle name="Normal 14" xfId="26"/>
    <cellStyle name="Normal 15" xfId="41"/>
    <cellStyle name="Normal 16" xfId="40"/>
    <cellStyle name="Normal 2" xfId="2"/>
    <cellStyle name="Normal 2 2" xfId="1"/>
    <cellStyle name="Normal 2 2 2" xfId="27"/>
    <cellStyle name="Normal 2 2 2 2" xfId="3"/>
    <cellStyle name="Normal 2 2 2 3" xfId="56"/>
    <cellStyle name="Normal 2 2 3" xfId="19"/>
    <cellStyle name="Normal 2 2 3 2" xfId="20"/>
    <cellStyle name="Normal 2 2 4" xfId="42"/>
    <cellStyle name="Normal 22" xfId="24"/>
    <cellStyle name="Normal 22 2" xfId="39"/>
    <cellStyle name="Normal 22 2 2" xfId="67"/>
    <cellStyle name="Normal 22 3" xfId="54"/>
    <cellStyle name="Normal 3" xfId="4"/>
    <cellStyle name="Normal 3 2" xfId="28"/>
    <cellStyle name="Normal 3 2 2" xfId="57"/>
    <cellStyle name="Normal 3 3" xfId="43"/>
    <cellStyle name="Normal 4" xfId="8"/>
    <cellStyle name="Normal 4 2" xfId="29"/>
    <cellStyle name="Normal 4 2 2" xfId="58"/>
    <cellStyle name="Normal 4 3" xfId="44"/>
    <cellStyle name="Normal 5" xfId="10"/>
    <cellStyle name="Normal 5 2" xfId="30"/>
    <cellStyle name="Normal 5 2 2" xfId="59"/>
    <cellStyle name="Normal 5 3" xfId="45"/>
    <cellStyle name="Normal 59" xfId="22"/>
    <cellStyle name="Normal 6" xfId="9"/>
    <cellStyle name="Normal 7" xfId="11"/>
    <cellStyle name="Normal 7 2" xfId="23"/>
    <cellStyle name="Normal 7 2 2" xfId="38"/>
    <cellStyle name="Normal 7 2 2 2" xfId="66"/>
    <cellStyle name="Normal 7 2 3" xfId="53"/>
    <cellStyle name="Normal 7 3" xfId="31"/>
    <cellStyle name="Normal 7 3 2" xfId="60"/>
    <cellStyle name="Normal 7 4" xfId="46"/>
    <cellStyle name="Normal 8" xfId="12"/>
    <cellStyle name="Normal 8 2" xfId="32"/>
    <cellStyle name="Normal 8 2 2" xfId="61"/>
    <cellStyle name="Normal 8 3" xfId="47"/>
    <cellStyle name="Normal 9" xfId="13"/>
    <cellStyle name="Normal 9 2" xfId="33"/>
    <cellStyle name="Normal 9 2 2" xfId="62"/>
    <cellStyle name="Normal 9 3" xfId="48"/>
    <cellStyle name="Percent" xfId="14" builtinId="5"/>
    <cellStyle name="Percent 2" xfId="7"/>
    <cellStyle name="Percent 3" xfId="34"/>
    <cellStyle name="Percent 4" xfId="49"/>
    <cellStyle name="Percent 5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GANESHA\GANESHA1\MIS2\GEB_Anand\SHP_TD_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DESAI\My%20folder\BUDGET%20FORMAT\ANNEXURE%20A%20TO%20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CH\CBS\SOP%202007-08%20to%202013-14\2013-14\SOP%20%20QTR%20JULY%20%2013%20to%20SEPT%2013\J%20E%20TECH-1\RELiability%20&amp;%20Saifi,Saidi,Maifi06-07\DGP\MIS\Documents%20and%20Settings\NEW%20USER\My%20Documents\DGP\DETAILS\Mpzp1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KP\SOP\J%20E%20TECH-1\RELiability%20&amp;%20Saifi,Saidi,Maifi06-07\DGP\MIS\Documents%20and%20Settings\NEW%20USER\My%20Documents\DGP\DETAILS\MPZPJ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Puneet\Local%20Settings\Temporary%20Internet%20Files\Content.IE5\TCSFHXSL\CEDEDCL_Appraisal-SBIWork-CA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GHP\SOP-DGVCL\2019-20\Q1\J%20E%20TECH-1\RELiability%20&amp;%20Saifi,Saidi,Maifi06-07\DGP\MIS\Documents%20and%20Settings\NEW%20USER\My%20Documents\DGP\DETAILS\Mpzp1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osif%20Back%20Up/Tosif%20Work/DGVCL/MIS%20Report/MIS-REVENUE-2022-23/REVENUE%20MIS%20Aug-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mpatel12939\Downloads\T.B%20From%20April-22%20to%20Sept%20-22%20Generated%20on%2004.11.22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tgamit8662\AppData\Local\Microsoft\Windows\Temporary%20Internet%20Files\Content.Outlook\764QGW04\4-Budget%20ANNEX%20%202023-24%20DT%2027-01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p_T_D_drive"/>
      <sheetName val="do"/>
      <sheetName val="shp_T&amp;D_drive"/>
      <sheetName val="shp_T&amp;D_drive (2)"/>
      <sheetName val="shp_sch"/>
      <sheetName val="And_City"/>
      <sheetName val="shp_td-comp sep"/>
      <sheetName val="Chart1"/>
      <sheetName val="Chart2"/>
      <sheetName val="Shp-25 fdrs comp sep"/>
      <sheetName val="shp_divisionwise_units"/>
      <sheetName val="shp_divisionwise_units jul-00  "/>
      <sheetName val="Shp-sdn wise data  s"/>
      <sheetName val="Shp-25 fdrs data  s"/>
      <sheetName val="Shp-sdn wise_GIDC Sep"/>
      <sheetName val="Shp-sdn wise_ind fdrs sep"/>
      <sheetName val="shp_urb_tst"/>
      <sheetName val="Shp-sdn wise_Urban fdrs"/>
      <sheetName val="Chart6"/>
      <sheetName val="Revenue Data"/>
      <sheetName val="Revenue Data (2)"/>
      <sheetName val="Chart8"/>
      <sheetName val="Revenue Data (3)"/>
      <sheetName val="Chart9"/>
      <sheetName val="Revenue Data (4)"/>
      <sheetName val="consumers"/>
      <sheetName val="shp_T&amp;D_drive (3)"/>
      <sheetName val="shp_T&amp;D_drive 15_sep"/>
      <sheetName val="shp_T&amp;D_drive 15_sep (2)"/>
      <sheetName val="mpmla wise pp01_02"/>
      <sheetName val="mpmla wise pp0001"/>
      <sheetName val="zpF0001"/>
      <sheetName val="Recovered_Sheet5"/>
      <sheetName val="LMAIN"/>
      <sheetName val="TLPPOCT"/>
      <sheetName val="mpmla wise pp02_03"/>
      <sheetName val="SuvP_Ltg_Catwise"/>
      <sheetName val="PP_Ltg_Catwise"/>
      <sheetName val="SuvP_Ind_Catwise "/>
      <sheetName val="PP_Ind_Catwise "/>
      <sheetName val="CDSteelMaster"/>
      <sheetName val="MTHWISE FAIL"/>
      <sheetName val="PASTE"/>
      <sheetName val="REF"/>
      <sheetName val="ATCFMPAPR-16 (mod)"/>
      <sheetName val="ATCFMPMAY-15 (mod)"/>
      <sheetName val="ATCFMPMAY-16 (mod)"/>
      <sheetName val="SDN-Catwise  (MOD) "/>
      <sheetName val="SDN-Catwise  (MOD)HTADV.BILLING"/>
      <sheetName val="ZP01_02SPILL_TALWISE"/>
      <sheetName val="PRO_39_C"/>
      <sheetName val="HTVR CO_"/>
      <sheetName val="SHP_TD_00"/>
      <sheetName val="T_D COM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2"/>
      <sheetName val="CASHFLOW GRANTS"/>
      <sheetName val="ANEX A"/>
      <sheetName val="ANEX A1"/>
      <sheetName val="ANNEX A2"/>
      <sheetName val="ANNEX A3"/>
      <sheetName val="ANX B"/>
      <sheetName val="ANX C TO  G"/>
      <sheetName val="ANEX H "/>
      <sheetName val="ANNEX I"/>
      <sheetName val="Grants"/>
      <sheetName val="ANEX J"/>
      <sheetName val="emp ag r&amp;M"/>
      <sheetName val="surat"/>
      <sheetName val="val"/>
      <sheetName val="bh"/>
      <sheetName val="power pur 0708 qtr"/>
      <sheetName val="T&amp;d"/>
      <sheetName val="Sheet6"/>
      <sheetName val="T&amp;D Final"/>
      <sheetName val="POWER PUR 0708"/>
      <sheetName val="Grwoth analysis"/>
      <sheetName val="Sheet11"/>
      <sheetName val="REV 2007-08"/>
      <sheetName val="Sheet2"/>
      <sheetName val="Sheet3"/>
      <sheetName val="comp 2006-07"/>
      <sheetName val="comp 0607 growth"/>
      <sheetName val="Sheet4"/>
      <sheetName val="comp 0708 growth"/>
      <sheetName val="comp 200708"/>
      <sheetName val="DIST. LOSS PERFORMA"/>
      <sheetName val="Divisionwise surat"/>
      <sheetName val="yearwise summary"/>
      <sheetName val="Sheet1"/>
      <sheetName val="Divisionwise Bharuch"/>
      <sheetName val="Sheet7"/>
      <sheetName val="divisionwise  valsad"/>
      <sheetName val="Quarterwise FINAL DGVCL"/>
      <sheetName val="Qaterwise  DGVCL"/>
      <sheetName val="QTRWISE"/>
      <sheetName val="Sheet9"/>
      <sheetName val="Sheet10"/>
      <sheetName val="summary"/>
      <sheetName val="Sheet5"/>
      <sheetName val="Sheet8"/>
      <sheetName val="Sch to P&amp;L"/>
      <sheetName val="QTR 0708"/>
      <sheetName val="DGVCL 0607"/>
      <sheetName val="Corporate"/>
      <sheetName val="Avg reali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">
          <cell r="C6">
            <v>1252.1500000000001</v>
          </cell>
          <cell r="D6">
            <v>554.91999999999996</v>
          </cell>
          <cell r="E6">
            <v>491.61</v>
          </cell>
          <cell r="T6">
            <v>845.03</v>
          </cell>
          <cell r="U6">
            <v>841.86</v>
          </cell>
          <cell r="V6">
            <v>829.2</v>
          </cell>
          <cell r="W6">
            <v>816.61</v>
          </cell>
        </row>
        <row r="7">
          <cell r="C7">
            <v>3794.3869551583571</v>
          </cell>
          <cell r="D7">
            <v>1681.5616180620884</v>
          </cell>
          <cell r="E7">
            <v>1489.7250966865267</v>
          </cell>
          <cell r="T7">
            <v>2560.7026663502729</v>
          </cell>
          <cell r="U7">
            <v>2551.082697147257</v>
          </cell>
          <cell r="V7">
            <v>2512.7467106499571</v>
          </cell>
          <cell r="W7">
            <v>2474.5683718590049</v>
          </cell>
        </row>
        <row r="15">
          <cell r="C15">
            <v>3132.77</v>
          </cell>
          <cell r="D15">
            <v>1291.83</v>
          </cell>
          <cell r="E15">
            <v>1155.1400000000001</v>
          </cell>
          <cell r="F15">
            <v>5579.74</v>
          </cell>
          <cell r="T15">
            <v>2088.8408471420339</v>
          </cell>
          <cell r="U15">
            <v>2087.2009711636192</v>
          </cell>
          <cell r="V15">
            <v>2048.4220592654688</v>
          </cell>
          <cell r="W15">
            <v>2023.6965428197202</v>
          </cell>
        </row>
        <row r="17">
          <cell r="C17">
            <v>23.52</v>
          </cell>
          <cell r="D17">
            <v>12.82</v>
          </cell>
          <cell r="E17">
            <v>13.12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6">
          <cell r="I36">
            <v>904.17082908277177</v>
          </cell>
          <cell r="J36">
            <v>940.93095495966793</v>
          </cell>
          <cell r="K36">
            <v>878.06149448107215</v>
          </cell>
          <cell r="L36">
            <v>896.09253685889746</v>
          </cell>
        </row>
        <row r="47">
          <cell r="I47">
            <v>3.7118325644480006</v>
          </cell>
          <cell r="J47">
            <v>5.0109739620048011</v>
          </cell>
          <cell r="K47">
            <v>4.2686074491152013</v>
          </cell>
          <cell r="L47">
            <v>5.567748846672</v>
          </cell>
        </row>
        <row r="81">
          <cell r="I81">
            <v>5.9929530391410015</v>
          </cell>
          <cell r="J81">
            <v>6.1579156028403501</v>
          </cell>
          <cell r="K81">
            <v>6.1266289950121493</v>
          </cell>
          <cell r="L81">
            <v>6.1989575587115002</v>
          </cell>
        </row>
        <row r="109">
          <cell r="I109">
            <v>31.705337199999999</v>
          </cell>
          <cell r="J109">
            <v>25.128276199999998</v>
          </cell>
          <cell r="K109">
            <v>25.869720000000001</v>
          </cell>
          <cell r="L109">
            <v>27.283004999999999</v>
          </cell>
        </row>
        <row r="162">
          <cell r="I162">
            <v>8.3955039389308332</v>
          </cell>
          <cell r="J162">
            <v>7.0502571923248318</v>
          </cell>
          <cell r="K162">
            <v>7.1359811579758334</v>
          </cell>
          <cell r="L162">
            <v>7.1164590827518346</v>
          </cell>
        </row>
        <row r="179">
          <cell r="I179">
            <v>13.24157002432</v>
          </cell>
          <cell r="J179">
            <v>12.971244629751997</v>
          </cell>
          <cell r="K179">
            <v>13.113987487899999</v>
          </cell>
          <cell r="L179">
            <v>13.334083539627999</v>
          </cell>
        </row>
        <row r="218">
          <cell r="I218">
            <v>21.84365092247975</v>
          </cell>
          <cell r="J218">
            <v>19.483250922479748</v>
          </cell>
          <cell r="K218">
            <v>18.881250922479747</v>
          </cell>
          <cell r="L218">
            <v>26.120450922479748</v>
          </cell>
        </row>
        <row r="229">
          <cell r="I229">
            <v>7.0555000000000003</v>
          </cell>
          <cell r="J229">
            <v>7.7722000000000007</v>
          </cell>
          <cell r="K229">
            <v>7.8682999999999996</v>
          </cell>
          <cell r="L229">
            <v>18.236000000000001</v>
          </cell>
        </row>
        <row r="245">
          <cell r="I245">
            <v>1.915011045</v>
          </cell>
          <cell r="J245">
            <v>1.6034110450000001</v>
          </cell>
          <cell r="K245">
            <v>1.465411045</v>
          </cell>
          <cell r="L245">
            <v>1.7791110450000001</v>
          </cell>
        </row>
        <row r="253">
          <cell r="I253">
            <v>0</v>
          </cell>
          <cell r="J253">
            <v>7.8143379333333325</v>
          </cell>
          <cell r="K253">
            <v>2.7294379333333336</v>
          </cell>
          <cell r="L253">
            <v>0</v>
          </cell>
        </row>
        <row r="264">
          <cell r="I264">
            <v>0.62</v>
          </cell>
          <cell r="J264">
            <v>4.5199999999999996</v>
          </cell>
          <cell r="K264">
            <v>0.62</v>
          </cell>
          <cell r="L264">
            <v>4.22</v>
          </cell>
        </row>
        <row r="285">
          <cell r="I285">
            <v>-7.7502914999999978E-2</v>
          </cell>
          <cell r="J285">
            <v>-7.6902914999999974E-2</v>
          </cell>
          <cell r="K285">
            <v>-7.9402914999999991E-2</v>
          </cell>
          <cell r="L285">
            <v>-7.7802914999999986E-2</v>
          </cell>
        </row>
      </sheetData>
      <sheetData sheetId="48">
        <row r="34">
          <cell r="D34">
            <v>8.6909E-2</v>
          </cell>
          <cell r="E34">
            <v>1284.3699999999999</v>
          </cell>
          <cell r="F34">
            <v>523.71699999999998</v>
          </cell>
          <cell r="G34">
            <v>494.85569999999996</v>
          </cell>
          <cell r="I34">
            <v>27.102359249999999</v>
          </cell>
        </row>
        <row r="45">
          <cell r="D45">
            <v>10</v>
          </cell>
          <cell r="I45">
            <v>17.120533924</v>
          </cell>
        </row>
        <row r="63">
          <cell r="D63">
            <v>5.4392256919999999</v>
          </cell>
          <cell r="E63">
            <v>9.52</v>
          </cell>
          <cell r="F63">
            <v>4.1287000000000003</v>
          </cell>
          <cell r="G63">
            <v>4.1495000000000006</v>
          </cell>
          <cell r="I63">
            <v>24.346300922666668</v>
          </cell>
        </row>
        <row r="79">
          <cell r="D79">
            <v>1.3252699999999999E-2</v>
          </cell>
          <cell r="E79">
            <v>5.26</v>
          </cell>
          <cell r="F79">
            <v>5.5835000000000008</v>
          </cell>
          <cell r="G79">
            <v>3.8372000000000002</v>
          </cell>
          <cell r="I79">
            <v>2.2347805433333333E-2</v>
          </cell>
        </row>
        <row r="107">
          <cell r="D107">
            <v>3.3366441500000001</v>
          </cell>
          <cell r="E107">
            <v>20.09</v>
          </cell>
          <cell r="F107">
            <v>20.576600000000006</v>
          </cell>
          <cell r="G107">
            <v>15.393799999999999</v>
          </cell>
          <cell r="I107">
            <v>13.659866308566667</v>
          </cell>
        </row>
        <row r="160">
          <cell r="D160">
            <v>1.5483350429999998</v>
          </cell>
          <cell r="E160">
            <v>6.2203999999999997</v>
          </cell>
          <cell r="F160">
            <v>4.2995000000000001</v>
          </cell>
          <cell r="G160">
            <v>3.3214000000000001</v>
          </cell>
          <cell r="I160">
            <v>3.2080613719833333</v>
          </cell>
        </row>
        <row r="177">
          <cell r="D177">
            <v>7.4251939999999995E-3</v>
          </cell>
          <cell r="E177">
            <v>8.01</v>
          </cell>
          <cell r="F177">
            <v>12.2073</v>
          </cell>
          <cell r="G177">
            <v>9.0787000000000013</v>
          </cell>
          <cell r="I177">
            <v>1.60539892692E-2</v>
          </cell>
        </row>
        <row r="216">
          <cell r="D216">
            <v>3.8182863559999998</v>
          </cell>
          <cell r="E216">
            <v>1.0228999999999999</v>
          </cell>
          <cell r="F216">
            <v>3.6133000000000002</v>
          </cell>
          <cell r="G216">
            <v>0.38140000000000002</v>
          </cell>
          <cell r="I216">
            <v>62.533908276113337</v>
          </cell>
        </row>
        <row r="227">
          <cell r="D227">
            <v>0</v>
          </cell>
          <cell r="E227">
            <v>0.02</v>
          </cell>
          <cell r="F227">
            <v>0</v>
          </cell>
          <cell r="G227">
            <v>10.291300000000001</v>
          </cell>
          <cell r="I227">
            <v>0</v>
          </cell>
        </row>
        <row r="243">
          <cell r="D243">
            <v>0</v>
          </cell>
          <cell r="E243">
            <v>0.04</v>
          </cell>
          <cell r="F243">
            <v>0.97830000000000006</v>
          </cell>
          <cell r="G243">
            <v>0.188</v>
          </cell>
          <cell r="I243">
            <v>0.41164417999999997</v>
          </cell>
        </row>
        <row r="253">
          <cell r="D253">
            <v>6.5689999999999998E-4</v>
          </cell>
          <cell r="E253">
            <v>6.25</v>
          </cell>
          <cell r="F253">
            <v>0.31379999999999997</v>
          </cell>
          <cell r="G253">
            <v>5.4920000000000009</v>
          </cell>
          <cell r="I253">
            <v>8.7586666666666674E-4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I264">
            <v>0</v>
          </cell>
        </row>
        <row r="284">
          <cell r="D284">
            <v>-0.25543690000000002</v>
          </cell>
          <cell r="E284">
            <v>-0.01</v>
          </cell>
          <cell r="F284">
            <v>0</v>
          </cell>
          <cell r="G284">
            <v>8.0000000000000015E-4</v>
          </cell>
          <cell r="I284">
            <v>-0.34058253333333333</v>
          </cell>
        </row>
      </sheetData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gy-mpmla"/>
      <sheetName val="GOKUL"/>
      <sheetName val="yw mpmlaws sumary"/>
      <sheetName val="mpmla WC_01_02 "/>
      <sheetName val="mpmla wise pp01_02"/>
      <sheetName val="KJ-Patrak-2"/>
      <sheetName val="zp01_02_SPILL"/>
      <sheetName val="ZP01_02SPILL_TALWISE"/>
      <sheetName val="ZPA01"/>
      <sheetName val="ZP URBAN IV_V"/>
      <sheetName val="ZP PROF II"/>
      <sheetName val="ZP PROF III "/>
      <sheetName val="ZP APR 00"/>
      <sheetName val="zpmar00"/>
      <sheetName val="mpmla wise pp0001 sort march"/>
      <sheetName val="mpmla wise pp0001 (2)"/>
      <sheetName val="mpwc0001"/>
      <sheetName val="zp0001_MAR"/>
      <sheetName val="zp0001spil_MAR01"/>
      <sheetName val="mpmla wise pp01_02 sept"/>
      <sheetName val="mpmla wise pp01_02 sept_distws"/>
      <sheetName val="mpmla wise pp01_02 nov"/>
      <sheetName val="mpmla wise pp01_02 Dec"/>
      <sheetName val="shp_T&amp;D_dr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p992000"/>
      <sheetName val="mpwc0001"/>
      <sheetName val="mpwc9900"/>
      <sheetName val="yw mpmlaws sumary"/>
      <sheetName val="mpmla wise pp0001"/>
      <sheetName val="ZP0001"/>
      <sheetName val="ZPM"/>
      <sheetName val="zpmar00"/>
      <sheetName val="zpF0001"/>
      <sheetName val="ZPA01"/>
      <sheetName val="ZP URBAN IV_V"/>
      <sheetName val="ZP PROF II"/>
      <sheetName val="ZP PROF III "/>
      <sheetName val="ggy-mpmla"/>
      <sheetName val="Sorted_mpmla wise pp0001"/>
      <sheetName val="mpmla DIST wise pp0001"/>
      <sheetName val="mpmla wise pp0001 (2)"/>
      <sheetName val="shp_T&amp;D_drive"/>
      <sheetName val="mpmla wise pp01_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ssumptions"/>
      <sheetName val="Projections"/>
      <sheetName val="CMA"/>
      <sheetName val="shp_T&amp;D_drive"/>
      <sheetName val="MUS"/>
      <sheetName val="MUS Dn.WISE"/>
      <sheetName val="Av. Realise"/>
      <sheetName val="Av. Realise Dn,WISE"/>
      <sheetName val="Power Purchase"/>
      <sheetName val="Power PurchaseDn.WISE"/>
      <sheetName val="Name"/>
      <sheetName val="Highlights of Budget"/>
      <sheetName val="Power Pur.qtr."/>
      <sheetName val="Units Growth Cat.wise"/>
      <sheetName val="Power purchase Cir.&amp; Divn."/>
      <sheetName val="cat.unit sold Cir &amp; Divn. "/>
      <sheetName val="Sheet2"/>
      <sheetName val="Feederwise units"/>
      <sheetName val="Categorywise con. "/>
      <sheetName val="unit sold"/>
      <sheetName val="No.of Cons unit"/>
      <sheetName val="SCh.17"/>
      <sheetName val="Sch.16 Cir &amp; Divn. "/>
      <sheetName val="Profit &amp; loss Cir &amp; Din"/>
      <sheetName val="Profitibility Cir "/>
      <sheetName val="Sheet1 _2_"/>
      <sheetName val="PROFITABILITY CO"/>
      <sheetName val="PROFITABILITY 0708"/>
      <sheetName val="bh"/>
      <sheetName val="Annex_B"/>
      <sheetName val="AC HEAD 92"/>
      <sheetName val="power pur"/>
      <sheetName val="ANN_ D"/>
      <sheetName val="EMP "/>
      <sheetName val="MATERIAL"/>
      <sheetName val="power pur _2_"/>
      <sheetName val="Sheet3"/>
      <sheetName val="SURAT CO"/>
      <sheetName val="Surat (4th)"/>
      <sheetName val="Surat (3rd )"/>
      <sheetName val="Surat (2nd)"/>
      <sheetName val="Surat ( 1st)"/>
      <sheetName val="hr"/>
      <sheetName val="Power Pscheme"/>
      <sheetName val="P&amp;L"/>
      <sheetName val="FINAL"/>
      <sheetName val="Co consolidate as on 07.04.07"/>
      <sheetName val="Dep Calculation"/>
      <sheetName val="dIVN&amp;co.cONSI."/>
      <sheetName val="Sch.19"/>
      <sheetName val="Sch.21"/>
      <sheetName val="Sch.22"/>
      <sheetName val="Sch.23"/>
      <sheetName val="Sch.24"/>
      <sheetName val="SCH.25"/>
      <sheetName val="sch.26"/>
      <sheetName val="sch.27"/>
      <sheetName val="Sch.28"/>
      <sheetName val="Mat. requir."/>
      <sheetName val="Sch.18"/>
      <sheetName val="VALSAD"/>
      <sheetName val="val civil"/>
      <sheetName val="Cap.Exp.07-08"/>
      <sheetName val="Fina.year 06-07"/>
      <sheetName val="Anne.D"/>
      <sheetName val="Stat.IV"/>
      <sheetName val="Sch.20"/>
      <sheetName val="2007_08"/>
      <sheetName val="Sheet12"/>
      <sheetName val="CASHFLOW GRANTS"/>
      <sheetName val="ANEX A"/>
      <sheetName val="ANEX A1"/>
      <sheetName val="ANNEX A2"/>
      <sheetName val="ANNEX A3"/>
      <sheetName val="Anxb1"/>
      <sheetName val="ANX B"/>
      <sheetName val="ANX C TO  G"/>
      <sheetName val="ANEX H "/>
      <sheetName val="ANNEX I"/>
      <sheetName val="grans"/>
      <sheetName val="ANEX J"/>
      <sheetName val="emp ag r&amp;M"/>
      <sheetName val="surat"/>
      <sheetName val="val"/>
      <sheetName val="power pur 0708 qtr"/>
      <sheetName val="T&amp;d"/>
      <sheetName val="Sheet6"/>
      <sheetName val="T&amp;D Final"/>
      <sheetName val="POWER PUR 0708"/>
      <sheetName val="Grwoth analysis"/>
      <sheetName val="Sheet11"/>
      <sheetName val="REV 2007-08"/>
      <sheetName val="comp 2006-07"/>
      <sheetName val="comp 0607 growth"/>
      <sheetName val="Sheet4"/>
      <sheetName val="comp 0708 growth"/>
      <sheetName val="comp 200708"/>
      <sheetName val="DIST. LOSS PERFORMA"/>
      <sheetName val="Divisionwise surat"/>
      <sheetName val="yearwise summary"/>
      <sheetName val="Divisionwise Bharuch"/>
      <sheetName val="Sheet7"/>
      <sheetName val="divisionwise  valsad"/>
      <sheetName val="Quarterwise FINAL DGVCL"/>
      <sheetName val="Qaterwise  DGVCL"/>
      <sheetName val="QTRWISE"/>
      <sheetName val="Sheet9"/>
      <sheetName val="Sheet10"/>
      <sheetName val="summary"/>
      <sheetName val="Sheet5"/>
      <sheetName val="Sheet8"/>
      <sheetName val="Sch to P&amp;L"/>
      <sheetName val="QTR 0708"/>
      <sheetName val="DGVCL 0607"/>
      <sheetName val="Corporate"/>
      <sheetName val="Avg realise"/>
      <sheetName val="Annexure A TO J "/>
      <sheetName val="cover page"/>
      <sheetName val="Rural "/>
      <sheetName val="Bardoli "/>
      <sheetName val="Vyara "/>
      <sheetName val="Kadodara"/>
      <sheetName val="RSO "/>
      <sheetName val="CO"/>
      <sheetName val="AS whole CO "/>
      <sheetName val="REASONS "/>
      <sheetName val="new "/>
      <sheetName val="76-101"/>
      <sheetName val="76-111"/>
      <sheetName val="76-116"/>
      <sheetName val="vehicle"/>
      <sheetName val="76-137"/>
      <sheetName val="SURAT AG &amp; INT"/>
      <sheetName val="VALSAD AG &amp; INT"/>
      <sheetName val="BHARUCH AG &amp; INT"/>
      <sheetName val="Vehicle Hiring"/>
      <sheetName val="Act Emp As on Dec09"/>
      <sheetName val="Employee Salary"/>
      <sheetName val="DGVCL MOB Rugh"/>
      <sheetName val="DGVCL MOB (3)"/>
      <sheetName val="SECURITY 2018"/>
      <sheetName val="76-169 Rural C.O. (2)"/>
      <sheetName val="78"/>
      <sheetName val="76"/>
      <sheetName val="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ssumptions"/>
      <sheetName val="Projections"/>
      <sheetName val="CMA"/>
      <sheetName val="shp_T&amp;D_drive"/>
      <sheetName val="CDSteelMaster"/>
      <sheetName val="CEDEDCL_Appraisal-SBIWork-C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gy-mpmla"/>
      <sheetName val="GOKUL"/>
      <sheetName val="yw mpmlaws sumary"/>
      <sheetName val="mpmla WC_01_02 "/>
      <sheetName val="mpmla wise pp01_02"/>
      <sheetName val="KJ-Patrak-2"/>
      <sheetName val="zp01_02_SPILL"/>
      <sheetName val="ZP01_02SPILL_TALWISE"/>
      <sheetName val="ZPA01"/>
      <sheetName val="ZP URBAN IV_V"/>
      <sheetName val="ZP PROF II"/>
      <sheetName val="ZP PROF III "/>
      <sheetName val="ZP APR 00"/>
      <sheetName val="zpmar00"/>
      <sheetName val="mpmla wise pp0001 sort march"/>
      <sheetName val="mpmla wise pp0001 (2)"/>
      <sheetName val="mpwc0001"/>
      <sheetName val="zp0001_MAR"/>
      <sheetName val="zp0001spil_MAR01"/>
      <sheetName val="mpmla wise pp01_02 sept"/>
      <sheetName val="mpmla wise pp01_02 sept_distws"/>
      <sheetName val="mpmla wise pp01_02 nov"/>
      <sheetName val="mpmla wise pp01_02 Dec"/>
      <sheetName val="mpmla wise pp0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B (2)"/>
      <sheetName val="A"/>
      <sheetName val="B"/>
      <sheetName val="C (4)"/>
      <sheetName val="C"/>
      <sheetName val="C (2)"/>
      <sheetName val="C (3)"/>
      <sheetName val="D"/>
      <sheetName val="4.1"/>
      <sheetName val="E"/>
      <sheetName val="F-1"/>
      <sheetName val="F-2"/>
      <sheetName val="G"/>
      <sheetName val="H"/>
      <sheetName val="I"/>
      <sheetName val="J-1"/>
      <sheetName val="J-2"/>
      <sheetName val="% cons"/>
      <sheetName val="K"/>
      <sheetName val=" L -1SRT-C-"/>
      <sheetName val="L-2 SRT-R"/>
      <sheetName val="L-3 VLD"/>
      <sheetName val="L-4 BRH"/>
      <sheetName val="L-DGVCL"/>
      <sheetName val="Target Guvnl (2)"/>
      <sheetName val="summary "/>
      <sheetName val="no of con"/>
      <sheetName val="Sheet1"/>
      <sheetName val="Mu Sold Last Two Year"/>
      <sheetName val="GUVNL AT A GLANCE-20-21"/>
      <sheetName val="GUVNL AT A GLANCE 13-14"/>
      <sheetName val="Ass"/>
      <sheetName val="GUVNL AT GLANCE"/>
      <sheetName val="-1Q-3Q "/>
      <sheetName val="Arrears  (2)"/>
      <sheetName val="Arrears "/>
      <sheetName val="Circle Wise Arr "/>
      <sheetName val="Ass.Coll effi 11-12"/>
      <sheetName val="Collection Sheet"/>
      <sheetName val="Sheet3"/>
      <sheetName val="Sheet3 (2)"/>
      <sheetName val="Sheet2"/>
      <sheetName val="ED"/>
      <sheetName val="Jan-22"/>
      <sheetName val="Jan-22-2"/>
      <sheetName val="MASTER"/>
      <sheetName val="SURAT R"/>
      <sheetName val="VALSAD"/>
      <sheetName val="BHARUCH"/>
      <sheetName val="SCC"/>
      <sheetName val="SURAT R HT"/>
      <sheetName val="VALSAD HT"/>
      <sheetName val="BHARUCH HT"/>
      <sheetName val="SCC HT"/>
      <sheetName val="Sheet4"/>
      <sheetName val="Sheet5"/>
      <sheetName val="POC Essar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56">
          <cell r="E56">
            <v>541380000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s a Whole"/>
      <sheetName val="Location Wise"/>
      <sheetName val="400 SRC"/>
      <sheetName val="410 BRH"/>
      <sheetName val="490 VLD"/>
      <sheetName val="600 City"/>
      <sheetName val="994 Corporate"/>
    </sheetNames>
    <sheetDataSet>
      <sheetData sheetId="0"/>
      <sheetData sheetId="1">
        <row r="12956">
          <cell r="H12956">
            <v>1397765483644.3501</v>
          </cell>
        </row>
      </sheetData>
      <sheetData sheetId="2">
        <row r="732">
          <cell r="F732">
            <v>220358916711.32999</v>
          </cell>
        </row>
      </sheetData>
      <sheetData sheetId="3">
        <row r="746">
          <cell r="F746">
            <v>274460747804.39001</v>
          </cell>
        </row>
      </sheetData>
      <sheetData sheetId="4">
        <row r="746">
          <cell r="F746">
            <v>137116182556.53</v>
          </cell>
        </row>
      </sheetData>
      <sheetData sheetId="5">
        <row r="690">
          <cell r="F690">
            <v>216288919827.76999</v>
          </cell>
        </row>
      </sheetData>
      <sheetData sheetId="6">
        <row r="472">
          <cell r="F472">
            <v>549540716744.33002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nnex-A"/>
      <sheetName val="Revenue-B_"/>
      <sheetName val="Annex-B1-Y-O-Y Growth_"/>
      <sheetName val="Before Meeting"/>
      <sheetName val="Revenue-B"/>
      <sheetName val="Y-O-Y Growth"/>
      <sheetName val="Old_Final Power Purchase-C (2)"/>
      <sheetName val="Final Power Purchase-C (2)"/>
      <sheetName val="Annex-C Power Purchase"/>
      <sheetName val="Annexure A TO J "/>
      <sheetName val="Old_Annexure D "/>
      <sheetName val="74-Annex-D"/>
      <sheetName val="74-Lab.and Mat._Anx-D1"/>
      <sheetName val="Vacant &amp; Filed Up"/>
      <sheetName val="75-Annex-E"/>
      <sheetName val="Annexure E"/>
      <sheetName val="76 Annex-F"/>
      <sheetName val="Annexure F"/>
      <sheetName val="77-Annex-G"/>
      <sheetName val="78-Annex-H"/>
      <sheetName val="27-Annex-I"/>
      <sheetName val="Annexure G"/>
      <sheetName val="77 As per C.A.,13"/>
      <sheetName val=" Annexure H"/>
      <sheetName val="Capex &amp; Funding"/>
      <sheetName val="Old Capex-I"/>
      <sheetName val="Capex  (Phy &amp; Fin)"/>
      <sheetName val="SD &amp; P Capex(Phy &amp; Fin)"/>
      <sheetName val="New SD &amp; P Capex(Material&amp;Lab.)"/>
      <sheetName val="Capex (Material &amp; Labour)"/>
      <sheetName val="SURAT AG &amp; INT"/>
      <sheetName val="VALSAD AG &amp; INT"/>
      <sheetName val="BHARUCH AG &amp; INT"/>
      <sheetName val="Vehicle Hiring"/>
      <sheetName val="1 Capex &amp; Funding"/>
      <sheetName val="1 Capex  (Phy &amp; Fin)"/>
      <sheetName val="1 Capex (Material &amp; Labour)"/>
      <sheetName val="Employee Salary  "/>
      <sheetName val="Act Emp As on Dec09"/>
      <sheetName val="Employee Salary"/>
      <sheetName val="DGVCL MOB Rugh"/>
      <sheetName val="DGVCL MOB (3)"/>
      <sheetName val="Annex-J Capex &amp; Funding"/>
      <sheetName val="Annex-J1-Capex  (Phy &amp; Fin)"/>
      <sheetName val="Annex J2 Capex(Mat. &amp; Lab.)"/>
      <sheetName val="Annex. J3 S.I."/>
      <sheetName val="Anx J4- I.T. Budget"/>
      <sheetName val="Anx. J5- other scheme"/>
      <sheetName val="Anx-J5-RDSS"/>
      <sheetName val="Annex-K"/>
      <sheetName val="Anne. K1 Matir."/>
      <sheetName val="Annex-K2 Pro.Pur. Proq."/>
      <sheetName val="annex-K3 Civil Pro."/>
      <sheetName val="Annex-L -CASH FLOW"/>
      <sheetName val="Actual Esti. 2012-13 Circlewise"/>
      <sheetName val="Sheet1"/>
      <sheetName val="Sheet2"/>
    </sheetNames>
    <sheetDataSet>
      <sheetData sheetId="0"/>
      <sheetData sheetId="1">
        <row r="17">
          <cell r="E17">
            <v>16764.055353078002</v>
          </cell>
          <cell r="K17">
            <v>21023.448041808675</v>
          </cell>
          <cell r="N17">
            <v>5143.1091236060811</v>
          </cell>
          <cell r="Q17">
            <v>6243.9781244053829</v>
          </cell>
          <cell r="T17">
            <v>5838.9806489899665</v>
          </cell>
          <cell r="W17">
            <v>7861.639575388599</v>
          </cell>
          <cell r="Z17">
            <v>25087.70747239003</v>
          </cell>
        </row>
        <row r="24">
          <cell r="E24">
            <v>250.54929999999999</v>
          </cell>
          <cell r="K24">
            <v>130.504224421</v>
          </cell>
          <cell r="N24">
            <v>15.399999999999999</v>
          </cell>
          <cell r="Q24">
            <v>26.269333871066671</v>
          </cell>
          <cell r="T24">
            <v>31.594660977199997</v>
          </cell>
          <cell r="W24">
            <v>58.902026628080002</v>
          </cell>
          <cell r="Z24">
            <v>132.16602147634669</v>
          </cell>
        </row>
        <row r="33">
          <cell r="E33">
            <v>155.8845</v>
          </cell>
          <cell r="K33">
            <v>129.52410460000002</v>
          </cell>
          <cell r="N33">
            <v>28.959999999999997</v>
          </cell>
          <cell r="Q33">
            <v>53.79</v>
          </cell>
          <cell r="T33">
            <v>30.79</v>
          </cell>
          <cell r="W33">
            <v>45.865547032000002</v>
          </cell>
          <cell r="Z33">
            <v>159.40554703199999</v>
          </cell>
        </row>
        <row r="38">
          <cell r="N38">
            <v>56.21</v>
          </cell>
        </row>
        <row r="39">
          <cell r="E39">
            <v>225.47120000000001</v>
          </cell>
          <cell r="K39">
            <v>231.81</v>
          </cell>
          <cell r="Z39">
            <v>239.67000000000002</v>
          </cell>
        </row>
      </sheetData>
      <sheetData sheetId="2"/>
      <sheetData sheetId="3"/>
      <sheetData sheetId="4">
        <row r="17">
          <cell r="E17">
            <v>6418.43</v>
          </cell>
        </row>
        <row r="22">
          <cell r="E22">
            <v>193.52375309200002</v>
          </cell>
        </row>
        <row r="31">
          <cell r="E31">
            <v>44.077676572000016</v>
          </cell>
        </row>
        <row r="37">
          <cell r="E37">
            <v>168.22178803499997</v>
          </cell>
          <cell r="N37">
            <v>0</v>
          </cell>
          <cell r="Q37">
            <v>0</v>
          </cell>
          <cell r="T37">
            <v>0</v>
          </cell>
        </row>
      </sheetData>
      <sheetData sheetId="5"/>
      <sheetData sheetId="6"/>
      <sheetData sheetId="7"/>
      <sheetData sheetId="8">
        <row r="8">
          <cell r="C8">
            <v>16121.3</v>
          </cell>
          <cell r="D8">
            <v>21915.580168852415</v>
          </cell>
          <cell r="I8">
            <v>5106.3405674393853</v>
          </cell>
          <cell r="J8">
            <v>6627.4098678539667</v>
          </cell>
          <cell r="K8">
            <v>5927.7504663064474</v>
          </cell>
          <cell r="L8">
            <v>7282.1725971324659</v>
          </cell>
          <cell r="M8">
            <v>24943.673498732267</v>
          </cell>
        </row>
        <row r="16">
          <cell r="C16">
            <v>25514</v>
          </cell>
          <cell r="D16">
            <v>29679.077720927307</v>
          </cell>
          <cell r="I16">
            <v>6788.6897611047116</v>
          </cell>
          <cell r="J16">
            <v>8810.894792139934</v>
          </cell>
          <cell r="K16">
            <v>7880.7236543522904</v>
          </cell>
          <cell r="L16">
            <v>9681.3774748950509</v>
          </cell>
          <cell r="M16">
            <v>33161.685682491989</v>
          </cell>
        </row>
        <row r="17">
          <cell r="I17">
            <v>2.93E-2</v>
          </cell>
          <cell r="J17">
            <v>6.8000000000000005E-2</v>
          </cell>
          <cell r="K17">
            <v>5.8200000000000002E-2</v>
          </cell>
          <cell r="L17">
            <v>5.0999999999999997E-2</v>
          </cell>
        </row>
        <row r="19">
          <cell r="C19">
            <v>766</v>
          </cell>
        </row>
        <row r="20">
          <cell r="C20">
            <v>24748</v>
          </cell>
          <cell r="D20">
            <v>28107.077720927307</v>
          </cell>
          <cell r="I20">
            <v>6588.8104511043439</v>
          </cell>
          <cell r="J20">
            <v>8210.8219462744182</v>
          </cell>
          <cell r="K20">
            <v>7421.1237376689869</v>
          </cell>
          <cell r="L20">
            <v>9186.6782236754025</v>
          </cell>
          <cell r="M20">
            <v>31407.434358723149</v>
          </cell>
        </row>
      </sheetData>
      <sheetData sheetId="9"/>
      <sheetData sheetId="10">
        <row r="80">
          <cell r="C80">
            <v>3088.0169683999998</v>
          </cell>
        </row>
      </sheetData>
      <sheetData sheetId="11">
        <row r="63">
          <cell r="C63">
            <v>6122.6410548000003</v>
          </cell>
          <cell r="F63">
            <v>8367.7649999999994</v>
          </cell>
          <cell r="G63">
            <v>150.69</v>
          </cell>
          <cell r="H63">
            <v>1610.1603509500001</v>
          </cell>
          <cell r="I63">
            <v>2663.1600000000003</v>
          </cell>
          <cell r="J63">
            <v>2249.7680480000004</v>
          </cell>
          <cell r="K63">
            <v>2205.4</v>
          </cell>
          <cell r="L63">
            <v>8879.17839895</v>
          </cell>
        </row>
      </sheetData>
      <sheetData sheetId="12"/>
      <sheetData sheetId="13"/>
      <sheetData sheetId="14">
        <row r="31">
          <cell r="F31">
            <v>61250.5022015</v>
          </cell>
          <cell r="G31">
            <v>8431.3119953960013</v>
          </cell>
          <cell r="H31">
            <v>10276.122712779999</v>
          </cell>
          <cell r="I31">
            <v>14331.37</v>
          </cell>
          <cell r="J31">
            <v>20993.520000000004</v>
          </cell>
          <cell r="K31">
            <v>13610.424220000001</v>
          </cell>
          <cell r="L31">
            <v>67642.748928175992</v>
          </cell>
        </row>
        <row r="32">
          <cell r="C32">
            <v>56839.522223099993</v>
          </cell>
        </row>
      </sheetData>
      <sheetData sheetId="15">
        <row r="28">
          <cell r="C28">
            <v>23700.889925199997</v>
          </cell>
        </row>
      </sheetData>
      <sheetData sheetId="16">
        <row r="100">
          <cell r="C100">
            <v>12609.906940000003</v>
          </cell>
          <cell r="F100">
            <v>12044.875510382144</v>
          </cell>
          <cell r="G100">
            <v>2316.1290000000004</v>
          </cell>
          <cell r="H100">
            <v>2193.415070298</v>
          </cell>
          <cell r="I100">
            <v>3831.0899999999997</v>
          </cell>
          <cell r="J100">
            <v>3963.8174131503088</v>
          </cell>
          <cell r="K100">
            <v>2590.9592250000005</v>
          </cell>
          <cell r="L100">
            <v>14895.410708448309</v>
          </cell>
        </row>
      </sheetData>
      <sheetData sheetId="17">
        <row r="98">
          <cell r="C98">
            <v>5924.052854900001</v>
          </cell>
        </row>
      </sheetData>
      <sheetData sheetId="18">
        <row r="17">
          <cell r="C17">
            <v>36579.187086999991</v>
          </cell>
          <cell r="F17">
            <v>39796.314048488224</v>
          </cell>
          <cell r="G17">
            <v>514.78494068971304</v>
          </cell>
          <cell r="H17">
            <v>10134.173435768038</v>
          </cell>
          <cell r="I17">
            <v>12227.965807344157</v>
          </cell>
          <cell r="J17">
            <v>11180.365118037007</v>
          </cell>
          <cell r="K17">
            <v>9742.0563361582645</v>
          </cell>
          <cell r="L17">
            <v>43799.345637997183</v>
          </cell>
        </row>
      </sheetData>
      <sheetData sheetId="19">
        <row r="37">
          <cell r="C37">
            <v>8826.2325799999999</v>
          </cell>
          <cell r="F37">
            <v>10823.81</v>
          </cell>
          <cell r="G37">
            <v>741.1</v>
          </cell>
          <cell r="H37">
            <v>3997.53</v>
          </cell>
          <cell r="I37">
            <v>4043.86</v>
          </cell>
          <cell r="J37">
            <v>4011.7200000000003</v>
          </cell>
          <cell r="K37">
            <v>4070.896225</v>
          </cell>
          <cell r="L37">
            <v>16865.106225</v>
          </cell>
        </row>
      </sheetData>
      <sheetData sheetId="20"/>
      <sheetData sheetId="21">
        <row r="41">
          <cell r="C41">
            <v>9813.011531600001</v>
          </cell>
        </row>
      </sheetData>
      <sheetData sheetId="22"/>
      <sheetData sheetId="23">
        <row r="16">
          <cell r="C16" t="e">
            <v>#REF!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9.bin"/><Relationship Id="rId4" Type="http://schemas.openxmlformats.org/officeDocument/2006/relationships/oleObject" Target="../embeddings/oleObject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N85"/>
  <sheetViews>
    <sheetView zoomScaleSheetLayoutView="85" workbookViewId="0">
      <selection activeCell="A85" sqref="A85:J85"/>
    </sheetView>
  </sheetViews>
  <sheetFormatPr defaultColWidth="15.28515625" defaultRowHeight="15"/>
  <cols>
    <col min="1" max="2" width="4.7109375" style="594" customWidth="1"/>
    <col min="3" max="3" width="51" style="595" customWidth="1"/>
    <col min="4" max="6" width="15.28515625" style="595" customWidth="1"/>
    <col min="7" max="7" width="15.42578125" style="593" customWidth="1"/>
    <col min="8" max="8" width="14.5703125" style="593" customWidth="1"/>
    <col min="9" max="9" width="18" style="593" customWidth="1"/>
    <col min="10" max="10" width="15" style="593" customWidth="1"/>
    <col min="11" max="11" width="10.7109375" style="593" hidden="1" customWidth="1"/>
    <col min="12" max="32" width="9.140625" style="593" customWidth="1"/>
    <col min="33" max="33" width="16.140625" style="593" customWidth="1"/>
    <col min="34" max="34" width="9.85546875" style="593" customWidth="1"/>
    <col min="35" max="231" width="9.140625" style="593" customWidth="1"/>
    <col min="232" max="232" width="4.7109375" style="593" customWidth="1"/>
    <col min="233" max="233" width="0" style="593" hidden="1" customWidth="1"/>
    <col min="234" max="234" width="4.7109375" style="593" customWidth="1"/>
    <col min="235" max="235" width="48.140625" style="593" bestFit="1" customWidth="1"/>
    <col min="236" max="16384" width="15.28515625" style="593"/>
  </cols>
  <sheetData>
    <row r="1" spans="1:39" ht="22.5">
      <c r="A1" s="1065" t="s">
        <v>1432</v>
      </c>
      <c r="B1" s="1065"/>
      <c r="C1" s="1065"/>
      <c r="D1" s="1065"/>
      <c r="E1" s="1065"/>
      <c r="F1" s="1065"/>
      <c r="G1" s="1065"/>
      <c r="H1" s="1065"/>
    </row>
    <row r="2" spans="1:39" ht="0.75" customHeight="1"/>
    <row r="3" spans="1:39" ht="23.25" thickBot="1">
      <c r="A3" s="1066" t="s">
        <v>1433</v>
      </c>
      <c r="B3" s="1066"/>
      <c r="C3" s="1066"/>
      <c r="D3" s="1066"/>
      <c r="E3" s="1066"/>
      <c r="F3" s="1066"/>
      <c r="G3" s="1066"/>
      <c r="H3" s="1066"/>
      <c r="I3" s="1067" t="s">
        <v>1434</v>
      </c>
      <c r="J3" s="1067"/>
    </row>
    <row r="4" spans="1:39" ht="3" hidden="1" customHeight="1">
      <c r="A4" s="596"/>
      <c r="B4" s="596"/>
      <c r="C4" s="596"/>
      <c r="D4" s="594"/>
      <c r="E4" s="594"/>
      <c r="F4" s="594"/>
      <c r="G4" s="596"/>
      <c r="H4" s="596"/>
      <c r="I4" s="597"/>
      <c r="J4" s="597"/>
    </row>
    <row r="5" spans="1:39" ht="15.75" customHeight="1" thickBot="1">
      <c r="A5" s="598"/>
      <c r="B5" s="598"/>
      <c r="C5" s="599"/>
      <c r="D5" s="599"/>
      <c r="E5" s="1068" t="s">
        <v>1723</v>
      </c>
      <c r="F5" s="1069"/>
      <c r="G5" s="1070" t="s">
        <v>1657</v>
      </c>
      <c r="H5" s="1071"/>
      <c r="I5" s="1072" t="s">
        <v>1435</v>
      </c>
      <c r="J5" s="1073"/>
    </row>
    <row r="6" spans="1:39" ht="0.75" customHeight="1" thickBot="1">
      <c r="A6" s="600"/>
      <c r="B6" s="601"/>
      <c r="C6" s="602"/>
      <c r="D6" s="602"/>
      <c r="E6" s="602"/>
      <c r="F6" s="602"/>
      <c r="G6" s="603"/>
      <c r="H6" s="603"/>
      <c r="I6" s="602"/>
      <c r="J6" s="604"/>
    </row>
    <row r="7" spans="1:39" s="612" customFormat="1" ht="63.75" customHeight="1" thickBot="1">
      <c r="A7" s="605" t="s">
        <v>1436</v>
      </c>
      <c r="B7" s="606"/>
      <c r="C7" s="607"/>
      <c r="D7" s="608"/>
      <c r="E7" s="605" t="s">
        <v>1659</v>
      </c>
      <c r="F7" s="609" t="s">
        <v>1660</v>
      </c>
      <c r="G7" s="605" t="s">
        <v>1661</v>
      </c>
      <c r="H7" s="609" t="s">
        <v>1660</v>
      </c>
      <c r="I7" s="610" t="s">
        <v>1662</v>
      </c>
      <c r="J7" s="611" t="s">
        <v>1663</v>
      </c>
    </row>
    <row r="8" spans="1:39" s="620" customFormat="1" ht="18">
      <c r="A8" s="613" t="s">
        <v>1393</v>
      </c>
      <c r="B8" s="614"/>
      <c r="C8" s="615" t="s">
        <v>1437</v>
      </c>
      <c r="D8" s="616"/>
      <c r="E8" s="616"/>
      <c r="F8" s="616"/>
      <c r="G8" s="617"/>
      <c r="H8" s="617"/>
      <c r="I8" s="617"/>
      <c r="J8" s="618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619"/>
      <c r="AD8" s="619"/>
      <c r="AE8" s="619"/>
      <c r="AF8" s="619"/>
      <c r="AG8" s="619"/>
      <c r="AH8" s="619"/>
      <c r="AI8" s="619"/>
      <c r="AJ8" s="619"/>
      <c r="AK8" s="619"/>
      <c r="AL8" s="619"/>
      <c r="AM8" s="619"/>
    </row>
    <row r="9" spans="1:39" s="620" customFormat="1" ht="0.75" customHeight="1">
      <c r="A9" s="621"/>
      <c r="B9" s="622"/>
      <c r="C9" s="623"/>
      <c r="D9" s="624"/>
      <c r="E9" s="624"/>
      <c r="F9" s="624"/>
      <c r="G9" s="625"/>
      <c r="H9" s="625"/>
      <c r="I9" s="625"/>
      <c r="J9" s="626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  <c r="AC9" s="619"/>
      <c r="AD9" s="619"/>
      <c r="AE9" s="619"/>
      <c r="AF9" s="619"/>
      <c r="AG9" s="619"/>
      <c r="AH9" s="619"/>
      <c r="AI9" s="619"/>
      <c r="AJ9" s="619"/>
      <c r="AK9" s="619"/>
      <c r="AL9" s="619"/>
      <c r="AM9" s="619"/>
    </row>
    <row r="10" spans="1:39" s="634" customFormat="1">
      <c r="A10" s="627"/>
      <c r="B10" s="628">
        <v>1</v>
      </c>
      <c r="C10" s="629" t="s">
        <v>1438</v>
      </c>
      <c r="D10" s="630" t="s">
        <v>1055</v>
      </c>
      <c r="E10" s="631">
        <f>F10-99</f>
        <v>98</v>
      </c>
      <c r="F10" s="631">
        <v>197</v>
      </c>
      <c r="G10" s="631">
        <v>60</v>
      </c>
      <c r="H10" s="631">
        <v>124</v>
      </c>
      <c r="I10" s="632">
        <f t="shared" ref="I10:J11" si="0">E10/G10-100%</f>
        <v>0.6333333333333333</v>
      </c>
      <c r="J10" s="632">
        <f t="shared" si="0"/>
        <v>0.58870967741935476</v>
      </c>
      <c r="K10" s="633"/>
      <c r="L10" s="633"/>
      <c r="M10" s="633"/>
      <c r="N10" s="633"/>
      <c r="O10" s="633"/>
      <c r="P10" s="633"/>
      <c r="Q10" s="633"/>
      <c r="R10" s="633"/>
      <c r="S10" s="633"/>
      <c r="T10" s="633"/>
      <c r="U10" s="633"/>
      <c r="V10" s="633"/>
      <c r="W10" s="633"/>
      <c r="X10" s="633"/>
      <c r="Y10" s="633"/>
      <c r="Z10" s="633"/>
      <c r="AA10" s="633"/>
      <c r="AB10" s="633"/>
      <c r="AC10" s="633"/>
      <c r="AD10" s="633"/>
      <c r="AE10" s="633"/>
      <c r="AF10" s="633"/>
      <c r="AG10" s="633"/>
      <c r="AH10" s="633"/>
      <c r="AI10" s="633"/>
      <c r="AJ10" s="633"/>
      <c r="AK10" s="633"/>
      <c r="AL10" s="633"/>
      <c r="AM10" s="633"/>
    </row>
    <row r="11" spans="1:39" s="634" customFormat="1">
      <c r="A11" s="627"/>
      <c r="B11" s="628">
        <v>2</v>
      </c>
      <c r="C11" s="629" t="s">
        <v>1439</v>
      </c>
      <c r="D11" s="630" t="s">
        <v>1440</v>
      </c>
      <c r="E11" s="631">
        <f>F11-23286</f>
        <v>7882.8905159999995</v>
      </c>
      <c r="F11" s="631">
        <f>Sheet2!B21/10^6</f>
        <v>31168.890515999999</v>
      </c>
      <c r="G11" s="631">
        <v>7406</v>
      </c>
      <c r="H11" s="631">
        <v>29950</v>
      </c>
      <c r="I11" s="632">
        <f>E11/G11-100%</f>
        <v>6.439245422630302E-2</v>
      </c>
      <c r="J11" s="632">
        <f t="shared" si="0"/>
        <v>4.0697513055091727E-2</v>
      </c>
      <c r="K11" s="636"/>
      <c r="L11" s="633"/>
      <c r="M11" s="633"/>
      <c r="N11" s="633"/>
      <c r="O11" s="633"/>
      <c r="P11" s="633"/>
      <c r="Q11" s="633"/>
      <c r="R11" s="633"/>
      <c r="S11" s="633"/>
      <c r="T11" s="633"/>
      <c r="U11" s="633"/>
      <c r="V11" s="633"/>
      <c r="W11" s="633"/>
      <c r="X11" s="633"/>
      <c r="Y11" s="633"/>
      <c r="Z11" s="633"/>
      <c r="AA11" s="633"/>
      <c r="AB11" s="633"/>
      <c r="AC11" s="633"/>
      <c r="AD11" s="633"/>
      <c r="AE11" s="633"/>
      <c r="AF11" s="633"/>
      <c r="AG11" s="633"/>
      <c r="AH11" s="633"/>
      <c r="AI11" s="633"/>
      <c r="AJ11" s="633"/>
      <c r="AK11" s="633"/>
      <c r="AL11" s="633"/>
      <c r="AM11" s="633"/>
    </row>
    <row r="12" spans="1:39">
      <c r="A12" s="627"/>
      <c r="B12" s="628">
        <v>3</v>
      </c>
      <c r="C12" s="637" t="s">
        <v>1441</v>
      </c>
      <c r="D12" s="630" t="s">
        <v>1440</v>
      </c>
      <c r="E12" s="631">
        <f>F12-91</f>
        <v>58</v>
      </c>
      <c r="F12" s="631">
        <f>209-60</f>
        <v>149</v>
      </c>
      <c r="G12" s="630">
        <f>107-9</f>
        <v>98</v>
      </c>
      <c r="H12" s="630">
        <f>148-97</f>
        <v>51</v>
      </c>
      <c r="I12" s="632">
        <f>E12/G12-100%</f>
        <v>-0.40816326530612246</v>
      </c>
      <c r="J12" s="632">
        <f t="shared" ref="J12" si="1">F12/H12-100%</f>
        <v>1.9215686274509802</v>
      </c>
      <c r="K12" s="633"/>
      <c r="L12" s="633"/>
      <c r="M12" s="633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3"/>
      <c r="AJ12" s="633"/>
      <c r="AK12" s="633"/>
      <c r="AL12" s="633"/>
      <c r="AM12" s="633"/>
    </row>
    <row r="13" spans="1:39">
      <c r="A13" s="638"/>
      <c r="B13" s="639"/>
      <c r="C13" s="640" t="s">
        <v>1442</v>
      </c>
      <c r="D13" s="628" t="s">
        <v>1440</v>
      </c>
      <c r="E13" s="630"/>
      <c r="F13" s="630"/>
      <c r="G13" s="631"/>
      <c r="H13" s="635"/>
      <c r="I13" s="641"/>
      <c r="J13" s="642"/>
    </row>
    <row r="14" spans="1:39" s="620" customFormat="1" ht="17.25" customHeight="1">
      <c r="A14" s="643"/>
      <c r="B14" s="644"/>
      <c r="C14" s="645" t="s">
        <v>1443</v>
      </c>
      <c r="D14" s="628" t="s">
        <v>1440</v>
      </c>
      <c r="E14" s="988">
        <f>SUM(E10:E13)</f>
        <v>8038.8905159999995</v>
      </c>
      <c r="F14" s="988">
        <f>SUM(F10:F13)</f>
        <v>31514.890515999999</v>
      </c>
      <c r="G14" s="988">
        <f>SUM(G10:G13)</f>
        <v>7564</v>
      </c>
      <c r="H14" s="988">
        <f>SUM(H10:H13)</f>
        <v>30125</v>
      </c>
      <c r="I14" s="717">
        <f>E14/G14-100%</f>
        <v>6.278298730830234E-2</v>
      </c>
      <c r="J14" s="717">
        <f>F14/H14-100%</f>
        <v>4.6137444514522841E-2</v>
      </c>
    </row>
    <row r="15" spans="1:39" s="620" customFormat="1" ht="2.25" hidden="1" customHeight="1">
      <c r="A15" s="643"/>
      <c r="B15" s="644"/>
      <c r="C15" s="645"/>
      <c r="D15" s="628"/>
      <c r="E15" s="630"/>
      <c r="F15" s="630"/>
      <c r="G15" s="631"/>
      <c r="H15" s="635">
        <f t="shared" ref="H15:H19" si="2">+G15</f>
        <v>0</v>
      </c>
      <c r="I15" s="641"/>
      <c r="J15" s="642"/>
    </row>
    <row r="16" spans="1:39" s="620" customFormat="1" ht="0.75" hidden="1" customHeight="1">
      <c r="A16" s="643"/>
      <c r="B16" s="644"/>
      <c r="C16" s="646"/>
      <c r="D16" s="628"/>
      <c r="E16" s="630"/>
      <c r="F16" s="630"/>
      <c r="G16" s="631"/>
      <c r="H16" s="635">
        <f t="shared" si="2"/>
        <v>0</v>
      </c>
      <c r="I16" s="641"/>
      <c r="J16" s="642"/>
    </row>
    <row r="17" spans="1:37" s="620" customFormat="1" ht="17.25" hidden="1" customHeight="1">
      <c r="A17" s="643"/>
      <c r="B17" s="644"/>
      <c r="C17" s="646"/>
      <c r="D17" s="628"/>
      <c r="E17" s="630"/>
      <c r="F17" s="630"/>
      <c r="G17" s="631"/>
      <c r="H17" s="635">
        <f t="shared" si="2"/>
        <v>0</v>
      </c>
      <c r="I17" s="641"/>
      <c r="J17" s="642"/>
    </row>
    <row r="18" spans="1:37" ht="3" hidden="1" customHeight="1">
      <c r="A18" s="638"/>
      <c r="B18" s="639"/>
      <c r="C18" s="647"/>
      <c r="D18" s="628"/>
      <c r="E18" s="630"/>
      <c r="F18" s="630"/>
      <c r="G18" s="631"/>
      <c r="H18" s="635">
        <f t="shared" si="2"/>
        <v>0</v>
      </c>
      <c r="I18" s="641"/>
      <c r="J18" s="642"/>
    </row>
    <row r="19" spans="1:37" hidden="1">
      <c r="A19" s="638"/>
      <c r="B19" s="639"/>
      <c r="C19" s="647"/>
      <c r="D19" s="628"/>
      <c r="E19" s="630"/>
      <c r="F19" s="630"/>
      <c r="G19" s="631"/>
      <c r="H19" s="635">
        <f t="shared" si="2"/>
        <v>0</v>
      </c>
      <c r="I19" s="641"/>
      <c r="J19" s="642"/>
    </row>
    <row r="20" spans="1:37" s="650" customFormat="1" ht="18">
      <c r="A20" s="648" t="s">
        <v>1444</v>
      </c>
      <c r="B20" s="639"/>
      <c r="C20" s="646" t="s">
        <v>1445</v>
      </c>
      <c r="D20" s="628"/>
      <c r="E20" s="630"/>
      <c r="F20" s="630"/>
      <c r="G20" s="631"/>
      <c r="H20" s="635"/>
      <c r="I20" s="630"/>
      <c r="J20" s="649"/>
    </row>
    <row r="21" spans="1:37">
      <c r="A21" s="638"/>
      <c r="B21" s="639">
        <v>1</v>
      </c>
      <c r="C21" s="651" t="s">
        <v>1446</v>
      </c>
      <c r="D21" s="630" t="s">
        <v>1440</v>
      </c>
      <c r="E21" s="631">
        <f>F21-23476</f>
        <v>8038.8905159999995</v>
      </c>
      <c r="F21" s="631">
        <f>+F14</f>
        <v>31514.890515999999</v>
      </c>
      <c r="G21" s="631">
        <v>7565</v>
      </c>
      <c r="H21" s="631">
        <v>30125</v>
      </c>
      <c r="I21" s="632">
        <f t="shared" ref="I21:J24" si="3">E21/G21-100%</f>
        <v>6.2642500462656958E-2</v>
      </c>
      <c r="J21" s="632">
        <f t="shared" si="3"/>
        <v>4.6137444514522841E-2</v>
      </c>
    </row>
    <row r="22" spans="1:37">
      <c r="A22" s="638"/>
      <c r="B22" s="639">
        <v>2</v>
      </c>
      <c r="C22" s="651" t="s">
        <v>1447</v>
      </c>
      <c r="D22" s="630" t="s">
        <v>1440</v>
      </c>
      <c r="E22" s="631">
        <f>F22-23476</f>
        <v>8038.8905159999995</v>
      </c>
      <c r="F22" s="631">
        <f>+F21</f>
        <v>31514.890515999999</v>
      </c>
      <c r="G22" s="631">
        <v>7565</v>
      </c>
      <c r="H22" s="631">
        <v>30125</v>
      </c>
      <c r="I22" s="632">
        <f t="shared" si="3"/>
        <v>6.2642500462656958E-2</v>
      </c>
      <c r="J22" s="632">
        <f t="shared" si="3"/>
        <v>4.6137444514522841E-2</v>
      </c>
    </row>
    <row r="23" spans="1:37">
      <c r="A23" s="638"/>
      <c r="B23" s="639">
        <v>3</v>
      </c>
      <c r="C23" s="651" t="s">
        <v>1448</v>
      </c>
      <c r="D23" s="630" t="s">
        <v>1440</v>
      </c>
      <c r="E23" s="631">
        <f>F23-22252</f>
        <v>7303</v>
      </c>
      <c r="F23" s="631">
        <v>29555</v>
      </c>
      <c r="G23" s="631">
        <v>7156</v>
      </c>
      <c r="H23" s="631">
        <v>28634</v>
      </c>
      <c r="I23" s="632">
        <f t="shared" si="3"/>
        <v>2.0542202347680227E-2</v>
      </c>
      <c r="J23" s="632">
        <f t="shared" si="3"/>
        <v>3.2164559614444421E-2</v>
      </c>
    </row>
    <row r="24" spans="1:37">
      <c r="A24" s="638"/>
      <c r="B24" s="639">
        <v>4</v>
      </c>
      <c r="C24" s="647" t="s">
        <v>1449</v>
      </c>
      <c r="D24" s="628" t="s">
        <v>1440</v>
      </c>
      <c r="E24" s="631">
        <f>+E22-E23</f>
        <v>735.89051599999948</v>
      </c>
      <c r="F24" s="631">
        <f>+F22-F23</f>
        <v>1959.8905159999995</v>
      </c>
      <c r="G24" s="988">
        <v>409</v>
      </c>
      <c r="H24" s="988">
        <v>1491</v>
      </c>
      <c r="I24" s="717">
        <f>E24/G24-100%</f>
        <v>0.79924331540342175</v>
      </c>
      <c r="J24" s="717">
        <f t="shared" si="3"/>
        <v>0.31448056069751806</v>
      </c>
    </row>
    <row r="25" spans="1:37" s="620" customFormat="1" ht="18">
      <c r="A25" s="643"/>
      <c r="B25" s="644">
        <v>5</v>
      </c>
      <c r="C25" s="652" t="s">
        <v>1450</v>
      </c>
      <c r="D25" s="628" t="s">
        <v>1418</v>
      </c>
      <c r="E25" s="717">
        <f>+E24/E22</f>
        <v>9.1541303434266044E-2</v>
      </c>
      <c r="F25" s="717">
        <f>+F24/F22</f>
        <v>6.2189348714537657E-2</v>
      </c>
      <c r="G25" s="717">
        <f>G24/G22</f>
        <v>5.4064771976206211E-2</v>
      </c>
      <c r="H25" s="717">
        <f>H24/H22</f>
        <v>4.9493775933609957E-2</v>
      </c>
      <c r="I25" s="717"/>
      <c r="J25" s="717"/>
    </row>
    <row r="26" spans="1:37" ht="0.75" customHeight="1">
      <c r="A26" s="638"/>
      <c r="B26" s="639"/>
      <c r="C26" s="647"/>
      <c r="D26" s="628"/>
      <c r="E26" s="630"/>
      <c r="F26" s="630"/>
      <c r="G26" s="631"/>
      <c r="H26" s="631"/>
      <c r="I26" s="641"/>
      <c r="J26" s="642"/>
    </row>
    <row r="27" spans="1:37" hidden="1">
      <c r="A27" s="638"/>
      <c r="B27" s="639"/>
      <c r="C27" s="647"/>
      <c r="D27" s="628"/>
      <c r="E27" s="630"/>
      <c r="F27" s="630"/>
      <c r="G27" s="631"/>
      <c r="H27" s="631"/>
      <c r="I27" s="641"/>
      <c r="J27" s="642"/>
    </row>
    <row r="28" spans="1:37" ht="18">
      <c r="A28" s="643" t="s">
        <v>1451</v>
      </c>
      <c r="B28" s="639"/>
      <c r="C28" s="646" t="s">
        <v>1452</v>
      </c>
      <c r="D28" s="628"/>
      <c r="E28" s="630"/>
      <c r="F28" s="630"/>
      <c r="G28" s="631"/>
      <c r="H28" s="631"/>
      <c r="I28" s="641"/>
      <c r="J28" s="642"/>
    </row>
    <row r="29" spans="1:37" ht="15.75">
      <c r="A29" s="638"/>
      <c r="B29" s="639">
        <v>1</v>
      </c>
      <c r="C29" s="653" t="s">
        <v>1453</v>
      </c>
      <c r="D29" s="630" t="s">
        <v>1454</v>
      </c>
      <c r="E29" s="641">
        <f>E31-E30</f>
        <v>6775.9422999999979</v>
      </c>
      <c r="F29" s="641">
        <f>F31-F30</f>
        <v>25146.732299999996</v>
      </c>
      <c r="G29" s="641">
        <v>5452.75</v>
      </c>
      <c r="H29" s="641">
        <v>21421.46</v>
      </c>
      <c r="I29" s="632">
        <f t="shared" ref="I29:J34" si="4">E29/G29-100%</f>
        <v>0.24266513227270603</v>
      </c>
      <c r="J29" s="632">
        <f t="shared" si="4"/>
        <v>0.17390375352567</v>
      </c>
    </row>
    <row r="30" spans="1:37" ht="15.75">
      <c r="A30" s="638"/>
      <c r="B30" s="639">
        <v>2</v>
      </c>
      <c r="C30" s="653" t="s">
        <v>1455</v>
      </c>
      <c r="D30" s="630" t="s">
        <v>1454</v>
      </c>
      <c r="E30" s="641">
        <v>15.637700000000001</v>
      </c>
      <c r="F30" s="641">
        <f>46.42+E30</f>
        <v>62.057700000000004</v>
      </c>
      <c r="G30" s="641">
        <v>22.14</v>
      </c>
      <c r="H30" s="641">
        <v>57.75</v>
      </c>
      <c r="I30" s="632">
        <f t="shared" si="4"/>
        <v>-0.29369015356820238</v>
      </c>
      <c r="J30" s="632">
        <f t="shared" si="4"/>
        <v>7.4592207792207876E-2</v>
      </c>
      <c r="AG30" s="593">
        <v>989.08</v>
      </c>
      <c r="AH30" s="593">
        <v>487.48</v>
      </c>
      <c r="AI30" s="593">
        <v>676.41</v>
      </c>
      <c r="AJ30" s="593">
        <v>492.14</v>
      </c>
      <c r="AK30" s="593">
        <f>AG30+AH30+AI30+AJ30</f>
        <v>2645.1099999999997</v>
      </c>
    </row>
    <row r="31" spans="1:37" ht="15.75">
      <c r="A31" s="638"/>
      <c r="B31" s="639">
        <v>3</v>
      </c>
      <c r="C31" s="647" t="s">
        <v>1456</v>
      </c>
      <c r="D31" s="628" t="s">
        <v>1457</v>
      </c>
      <c r="E31" s="720">
        <f>+'Financial Data -SOP'!E7</f>
        <v>6791.5799999999981</v>
      </c>
      <c r="F31" s="720">
        <f>'Financial Data -SOP'!F7</f>
        <v>25208.789999999997</v>
      </c>
      <c r="G31" s="720">
        <f>G29+G30</f>
        <v>5474.89</v>
      </c>
      <c r="H31" s="720">
        <f>H29+H30</f>
        <v>21479.21</v>
      </c>
      <c r="I31" s="717">
        <f t="shared" si="4"/>
        <v>0.24049615608715391</v>
      </c>
      <c r="J31" s="717">
        <f t="shared" si="4"/>
        <v>0.17363673989872064</v>
      </c>
      <c r="K31" s="654"/>
    </row>
    <row r="32" spans="1:37" ht="15.75">
      <c r="A32" s="638"/>
      <c r="B32" s="639">
        <v>4</v>
      </c>
      <c r="C32" s="653" t="s">
        <v>1458</v>
      </c>
      <c r="D32" s="630" t="s">
        <v>1454</v>
      </c>
      <c r="E32" s="641">
        <f>F32-18194.12</f>
        <v>7118.2816919999932</v>
      </c>
      <c r="F32" s="641">
        <f>+F34-F33</f>
        <v>25312.401691999992</v>
      </c>
      <c r="G32" s="641">
        <v>5586.57</v>
      </c>
      <c r="H32" s="641">
        <v>21424.25</v>
      </c>
      <c r="I32" s="632">
        <f t="shared" si="4"/>
        <v>0.27417748135259989</v>
      </c>
      <c r="J32" s="632">
        <f t="shared" si="4"/>
        <v>0.18148367816843036</v>
      </c>
    </row>
    <row r="33" spans="1:37" ht="15.75">
      <c r="A33" s="638"/>
      <c r="B33" s="639">
        <v>5</v>
      </c>
      <c r="C33" s="653" t="s">
        <v>1459</v>
      </c>
      <c r="D33" s="630" t="s">
        <v>1454</v>
      </c>
      <c r="E33" s="641">
        <v>4.2605000000000004</v>
      </c>
      <c r="F33" s="641">
        <f>13.13+E33</f>
        <v>17.390500000000003</v>
      </c>
      <c r="G33" s="641">
        <v>3.84</v>
      </c>
      <c r="H33" s="641">
        <v>5.56</v>
      </c>
      <c r="I33" s="632">
        <f t="shared" si="4"/>
        <v>0.10950520833333344</v>
      </c>
      <c r="J33" s="632">
        <f t="shared" si="4"/>
        <v>2.1277877697841734</v>
      </c>
      <c r="AG33" s="593">
        <v>222.54</v>
      </c>
      <c r="AH33" s="593">
        <v>109.11</v>
      </c>
      <c r="AI33" s="593">
        <v>326.95</v>
      </c>
      <c r="AJ33" s="593">
        <v>174.62</v>
      </c>
      <c r="AK33" s="593">
        <f>AG33+AH33+AI33+AJ33</f>
        <v>833.21999999999991</v>
      </c>
    </row>
    <row r="34" spans="1:37" ht="15.75">
      <c r="A34" s="638"/>
      <c r="B34" s="639">
        <v>6</v>
      </c>
      <c r="C34" s="647" t="s">
        <v>1460</v>
      </c>
      <c r="D34" s="628" t="s">
        <v>1457</v>
      </c>
      <c r="E34" s="1030">
        <f>F34-18207.25</f>
        <v>7122.5421919999935</v>
      </c>
      <c r="F34" s="1030">
        <f>F31*F35</f>
        <v>25329.792191999994</v>
      </c>
      <c r="G34" s="1030">
        <f>G32+G33</f>
        <v>5590.41</v>
      </c>
      <c r="H34" s="1030">
        <f>H32+H33</f>
        <v>21429.81</v>
      </c>
      <c r="I34" s="717">
        <f t="shared" si="4"/>
        <v>0.27406436951851365</v>
      </c>
      <c r="J34" s="717">
        <f t="shared" si="4"/>
        <v>0.1819886500160286</v>
      </c>
    </row>
    <row r="35" spans="1:37" s="620" customFormat="1" ht="35.25" customHeight="1" thickBot="1">
      <c r="A35" s="655"/>
      <c r="B35" s="656">
        <v>7</v>
      </c>
      <c r="C35" s="657" t="s">
        <v>1461</v>
      </c>
      <c r="D35" s="658" t="s">
        <v>1418</v>
      </c>
      <c r="E35" s="989">
        <f>E34/E31</f>
        <v>1.0487312513435747</v>
      </c>
      <c r="F35" s="989">
        <v>1.0047999999999999</v>
      </c>
      <c r="G35" s="989">
        <f>G34/G31</f>
        <v>1.0210999673052792</v>
      </c>
      <c r="H35" s="989">
        <f>H34/H31</f>
        <v>0.9977001016331607</v>
      </c>
      <c r="I35" s="989">
        <f>E35/G35-100%</f>
        <v>2.7060312332802816E-2</v>
      </c>
      <c r="J35" s="990">
        <f>J34/J31</f>
        <v>1.0480999016808279</v>
      </c>
      <c r="AG35" s="659">
        <f>E31*E35</f>
        <v>7122.5421919999935</v>
      </c>
    </row>
    <row r="36" spans="1:37" ht="37.5" hidden="1" customHeight="1">
      <c r="A36" s="1074"/>
      <c r="B36" s="1074"/>
      <c r="C36" s="1074"/>
      <c r="D36" s="1074"/>
      <c r="E36" s="1074"/>
      <c r="F36" s="1074"/>
      <c r="G36" s="1074"/>
      <c r="H36" s="1074"/>
      <c r="I36" s="1074"/>
      <c r="J36" s="1074"/>
    </row>
    <row r="37" spans="1:37">
      <c r="G37" s="595"/>
      <c r="H37" s="595"/>
    </row>
    <row r="38" spans="1:37" ht="22.5">
      <c r="A38" s="1065" t="s">
        <v>1432</v>
      </c>
      <c r="B38" s="1065"/>
      <c r="C38" s="1065"/>
      <c r="D38" s="1065"/>
      <c r="E38" s="1065"/>
      <c r="F38" s="1065"/>
      <c r="G38" s="1065"/>
      <c r="H38" s="1065"/>
    </row>
    <row r="40" spans="1:37" ht="23.25" thickBot="1">
      <c r="A40" s="1065" t="s">
        <v>1462</v>
      </c>
      <c r="B40" s="1065"/>
      <c r="C40" s="1065"/>
      <c r="D40" s="1065"/>
      <c r="E40" s="1065"/>
      <c r="F40" s="1065"/>
      <c r="G40" s="1065"/>
      <c r="H40" s="1065"/>
      <c r="I40" s="1075" t="s">
        <v>1463</v>
      </c>
      <c r="J40" s="1075"/>
    </row>
    <row r="41" spans="1:37" ht="0.75" customHeight="1" thickBot="1">
      <c r="A41" s="660"/>
      <c r="B41" s="661"/>
      <c r="C41" s="661"/>
      <c r="D41" s="662"/>
      <c r="E41" s="662"/>
      <c r="F41" s="662"/>
      <c r="G41" s="661"/>
      <c r="H41" s="661"/>
      <c r="I41" s="663"/>
      <c r="J41" s="664"/>
    </row>
    <row r="42" spans="1:37" ht="15.75" customHeight="1" thickBot="1">
      <c r="A42" s="665"/>
      <c r="B42" s="666"/>
      <c r="C42" s="667"/>
      <c r="D42" s="667"/>
      <c r="E42" s="1068" t="str">
        <f>E5</f>
        <v>Current Year 23-24 ***</v>
      </c>
      <c r="F42" s="1069"/>
      <c r="G42" s="1068" t="str">
        <f>G5</f>
        <v>Previous  Year 22-23*</v>
      </c>
      <c r="H42" s="1069"/>
      <c r="I42" s="1076" t="s">
        <v>1435</v>
      </c>
      <c r="J42" s="1073"/>
    </row>
    <row r="43" spans="1:37" ht="0.75" customHeight="1" thickBot="1">
      <c r="A43" s="668"/>
      <c r="B43" s="669"/>
      <c r="C43" s="670"/>
      <c r="D43" s="670"/>
      <c r="E43" s="602"/>
      <c r="F43" s="602"/>
      <c r="G43" s="671"/>
      <c r="H43" s="671"/>
      <c r="I43" s="672"/>
      <c r="J43" s="673"/>
    </row>
    <row r="44" spans="1:37" ht="67.5" customHeight="1" thickBot="1">
      <c r="A44" s="674"/>
      <c r="B44" s="598"/>
      <c r="C44" s="675"/>
      <c r="D44" s="598"/>
      <c r="E44" s="676" t="str">
        <f t="shared" ref="E44:J44" si="5">E7</f>
        <v>4th Quarter Jan'24 to Mar'24</v>
      </c>
      <c r="F44" s="676" t="str">
        <f t="shared" si="5"/>
        <v xml:space="preserve">Cumulative Up to 4th quarter </v>
      </c>
      <c r="G44" s="676" t="str">
        <f>G7</f>
        <v>4th Quarter Jan'23 to Mar'23</v>
      </c>
      <c r="H44" s="677" t="str">
        <f>H7</f>
        <v xml:space="preserve">Cumulative Up to 4th quarter </v>
      </c>
      <c r="I44" s="677" t="str">
        <f t="shared" si="5"/>
        <v>4th  Quarter</v>
      </c>
      <c r="J44" s="678" t="str">
        <f t="shared" si="5"/>
        <v>Cumulative up to 4th  Qtr</v>
      </c>
    </row>
    <row r="45" spans="1:37" ht="18">
      <c r="A45" s="679" t="s">
        <v>1393</v>
      </c>
      <c r="B45" s="680"/>
      <c r="C45" s="681" t="s">
        <v>1464</v>
      </c>
      <c r="D45" s="680"/>
      <c r="E45" s="680"/>
      <c r="F45" s="680"/>
      <c r="G45" s="630"/>
      <c r="H45" s="630"/>
      <c r="I45" s="682"/>
      <c r="J45" s="682"/>
    </row>
    <row r="46" spans="1:37" ht="15.75">
      <c r="A46" s="638"/>
      <c r="B46" s="639">
        <v>1</v>
      </c>
      <c r="C46" s="683" t="s">
        <v>1465</v>
      </c>
      <c r="D46" s="684" t="s">
        <v>1466</v>
      </c>
      <c r="E46" s="641">
        <f>E66/E14*10</f>
        <v>4.1885133194666322</v>
      </c>
      <c r="F46" s="641">
        <f>F66/F14*10</f>
        <v>6.6814955264748921</v>
      </c>
      <c r="G46" s="641">
        <f t="shared" ref="G46:H46" si="6">G66/G14*10</f>
        <v>7.08774457958752</v>
      </c>
      <c r="H46" s="641">
        <f t="shared" si="6"/>
        <v>6.9759668049792527</v>
      </c>
      <c r="I46" s="685">
        <f>(+E46-G46)/G46</f>
        <v>-0.40904849597297593</v>
      </c>
      <c r="J46" s="685">
        <f>(+F46-H46)/H46</f>
        <v>-4.2212253403237976E-2</v>
      </c>
    </row>
    <row r="47" spans="1:37" ht="15.75">
      <c r="A47" s="638"/>
      <c r="B47" s="639">
        <v>2</v>
      </c>
      <c r="C47" s="651" t="s">
        <v>1467</v>
      </c>
      <c r="D47" s="684" t="s">
        <v>1466</v>
      </c>
      <c r="E47" s="686"/>
      <c r="F47" s="686"/>
      <c r="G47" s="630"/>
      <c r="H47" s="630"/>
      <c r="I47" s="687"/>
      <c r="J47" s="687"/>
    </row>
    <row r="48" spans="1:37" ht="15.75">
      <c r="A48" s="638"/>
      <c r="B48" s="639">
        <v>3</v>
      </c>
      <c r="C48" s="651" t="s">
        <v>1468</v>
      </c>
      <c r="D48" s="684" t="s">
        <v>1466</v>
      </c>
      <c r="E48" s="686"/>
      <c r="F48" s="686"/>
      <c r="G48" s="630"/>
      <c r="H48" s="630"/>
      <c r="I48" s="687"/>
      <c r="J48" s="687"/>
    </row>
    <row r="49" spans="1:13" ht="15.75">
      <c r="A49" s="638"/>
      <c r="B49" s="639">
        <v>4</v>
      </c>
      <c r="C49" s="651" t="s">
        <v>1469</v>
      </c>
      <c r="D49" s="684" t="s">
        <v>1466</v>
      </c>
      <c r="E49" s="686"/>
      <c r="F49" s="686"/>
      <c r="G49" s="630"/>
      <c r="H49" s="630"/>
      <c r="I49" s="687"/>
      <c r="J49" s="687"/>
    </row>
    <row r="50" spans="1:13" ht="15.75">
      <c r="A50" s="638"/>
      <c r="B50" s="639">
        <v>5</v>
      </c>
      <c r="C50" s="651" t="s">
        <v>1470</v>
      </c>
      <c r="D50" s="684" t="s">
        <v>1466</v>
      </c>
      <c r="E50" s="686"/>
      <c r="F50" s="686"/>
      <c r="G50" s="630"/>
      <c r="H50" s="630"/>
      <c r="I50" s="687"/>
      <c r="J50" s="687"/>
    </row>
    <row r="51" spans="1:13" s="620" customFormat="1" ht="18">
      <c r="A51" s="643"/>
      <c r="B51" s="688">
        <v>6</v>
      </c>
      <c r="C51" s="689" t="s">
        <v>1471</v>
      </c>
      <c r="D51" s="690" t="s">
        <v>1466</v>
      </c>
      <c r="E51" s="691">
        <f>SUM(E46:E50)</f>
        <v>4.1885133194666322</v>
      </c>
      <c r="F51" s="691">
        <f>SUM(F46:F50)</f>
        <v>6.6814955264748921</v>
      </c>
      <c r="G51" s="691">
        <f>SUM(G46:G50)</f>
        <v>7.08774457958752</v>
      </c>
      <c r="H51" s="691">
        <f>SUM(H46:H50)</f>
        <v>6.9759668049792527</v>
      </c>
      <c r="I51" s="692">
        <f>(+E51-G51)/G51</f>
        <v>-0.40904849597297593</v>
      </c>
      <c r="J51" s="692">
        <f>(+F51-H51)/H51</f>
        <v>-4.2212253403237976E-2</v>
      </c>
    </row>
    <row r="52" spans="1:13" s="620" customFormat="1" ht="3" hidden="1" customHeight="1">
      <c r="A52" s="643"/>
      <c r="B52" s="644"/>
      <c r="C52" s="693"/>
      <c r="D52" s="639"/>
      <c r="E52" s="639"/>
      <c r="F52" s="639"/>
      <c r="G52" s="630"/>
      <c r="H52" s="630"/>
      <c r="I52" s="687"/>
      <c r="J52" s="687"/>
    </row>
    <row r="53" spans="1:13" s="620" customFormat="1" ht="18">
      <c r="A53" s="643" t="s">
        <v>1444</v>
      </c>
      <c r="B53" s="644"/>
      <c r="C53" s="693" t="s">
        <v>1472</v>
      </c>
      <c r="D53" s="639"/>
      <c r="E53" s="639"/>
      <c r="F53" s="639"/>
      <c r="G53" s="630"/>
      <c r="H53" s="630"/>
      <c r="I53" s="685"/>
      <c r="J53" s="687"/>
    </row>
    <row r="54" spans="1:13" ht="15.75">
      <c r="A54" s="638"/>
      <c r="B54" s="639">
        <v>1</v>
      </c>
      <c r="C54" s="651" t="s">
        <v>1473</v>
      </c>
      <c r="D54" s="684" t="s">
        <v>1466</v>
      </c>
      <c r="E54" s="641">
        <f>'REVENUE DATA -SOP'!E60/100</f>
        <v>7.4507160317237888</v>
      </c>
      <c r="F54" s="641">
        <f>'REVENUE DATA -SOP'!F60/100</f>
        <v>8.4279556949524377</v>
      </c>
      <c r="G54" s="641">
        <f>'REVENUE DATA -SOP'!G60/100</f>
        <v>7.9996996996996996</v>
      </c>
      <c r="H54" s="641">
        <f>'REVENUE DATA -SOP'!H60/100</f>
        <v>7.8910128476986401</v>
      </c>
      <c r="I54" s="685">
        <f t="shared" ref="I54:J56" si="7">(+E54-G54)/G54</f>
        <v>-6.8625534530567328E-2</v>
      </c>
      <c r="J54" s="685">
        <f t="shared" si="7"/>
        <v>6.8044857817002966E-2</v>
      </c>
    </row>
    <row r="55" spans="1:13" ht="15.75">
      <c r="A55" s="638"/>
      <c r="B55" s="639">
        <v>2</v>
      </c>
      <c r="C55" s="651" t="s">
        <v>1474</v>
      </c>
      <c r="D55" s="684" t="s">
        <v>1466</v>
      </c>
      <c r="E55" s="641">
        <f>'REVENUE DATA -SOP'!E67/100</f>
        <v>6.9813371523160743</v>
      </c>
      <c r="F55" s="641">
        <f>'REVENUE DATA -SOP'!F67/100</f>
        <v>7.5360587810717456</v>
      </c>
      <c r="G55" s="641">
        <f>'REVENUE DATA -SOP'!G67/100</f>
        <v>6.9291139240506334</v>
      </c>
      <c r="H55" s="641">
        <f>'REVENUE DATA -SOP'!H67/100</f>
        <v>7.0048091421315766</v>
      </c>
      <c r="I55" s="685">
        <f>(+E55-G55)/G55</f>
        <v>7.5367830342890595E-3</v>
      </c>
      <c r="J55" s="685">
        <f>(+F55-H55)/H55</f>
        <v>7.5840701461069193E-2</v>
      </c>
    </row>
    <row r="56" spans="1:13" s="620" customFormat="1" ht="22.5" customHeight="1" thickBot="1">
      <c r="A56" s="655"/>
      <c r="B56" s="694">
        <v>3</v>
      </c>
      <c r="C56" s="695" t="s">
        <v>1475</v>
      </c>
      <c r="D56" s="690" t="s">
        <v>1466</v>
      </c>
      <c r="E56" s="696">
        <f>'REVENUE DATA -SOP'!E68/100</f>
        <v>7.2322500927845637</v>
      </c>
      <c r="F56" s="696">
        <f>'REVENUE DATA -SOP'!F68/100</f>
        <v>8.0185951429173947</v>
      </c>
      <c r="G56" s="696">
        <f>'REVENUE DATA -SOP'!G68/100</f>
        <v>7.5269424259362783</v>
      </c>
      <c r="H56" s="696">
        <f>'REVENUE DATA -SOP'!H68/100</f>
        <v>7.5010337000174605</v>
      </c>
      <c r="I56" s="692">
        <f t="shared" si="7"/>
        <v>-3.9151665639990299E-2</v>
      </c>
      <c r="J56" s="692">
        <f t="shared" si="7"/>
        <v>6.899868252808003E-2</v>
      </c>
      <c r="L56" s="659">
        <f>E56-E51</f>
        <v>3.0437367733179315</v>
      </c>
      <c r="M56" s="659">
        <f>F56-F51</f>
        <v>1.3370996164425026</v>
      </c>
    </row>
    <row r="57" spans="1:13" ht="1.5" customHeight="1" thickBot="1">
      <c r="A57" s="697"/>
      <c r="B57" s="698"/>
      <c r="C57" s="699"/>
      <c r="D57" s="699"/>
      <c r="E57" s="699"/>
      <c r="F57" s="699"/>
      <c r="G57" s="700"/>
      <c r="H57" s="700"/>
      <c r="I57" s="700"/>
      <c r="J57" s="701"/>
    </row>
    <row r="58" spans="1:13" ht="29.25" customHeight="1">
      <c r="C58" s="1077"/>
      <c r="D58" s="1077"/>
      <c r="E58" s="1077"/>
      <c r="F58" s="1077"/>
      <c r="G58" s="1077"/>
      <c r="H58" s="1077"/>
      <c r="I58" s="1077"/>
      <c r="J58" s="1077"/>
    </row>
    <row r="59" spans="1:13" ht="22.5">
      <c r="A59" s="1065" t="s">
        <v>1432</v>
      </c>
      <c r="B59" s="1065"/>
      <c r="C59" s="1065"/>
      <c r="D59" s="1065"/>
      <c r="E59" s="1065"/>
      <c r="F59" s="1065"/>
      <c r="G59" s="1065"/>
      <c r="H59" s="1065"/>
    </row>
    <row r="60" spans="1:13" ht="1.5" hidden="1" customHeight="1"/>
    <row r="61" spans="1:13" ht="22.5">
      <c r="A61" s="1065" t="s">
        <v>1476</v>
      </c>
      <c r="B61" s="1065"/>
      <c r="C61" s="1065"/>
      <c r="D61" s="1065"/>
      <c r="E61" s="1065"/>
      <c r="F61" s="1065"/>
      <c r="G61" s="1065"/>
      <c r="H61" s="1065"/>
      <c r="I61" s="1067" t="s">
        <v>1477</v>
      </c>
      <c r="J61" s="1067"/>
    </row>
    <row r="62" spans="1:13" ht="0.75" customHeight="1" thickBot="1">
      <c r="A62" s="596"/>
      <c r="B62" s="596"/>
      <c r="C62" s="596"/>
      <c r="D62" s="594"/>
      <c r="E62" s="594"/>
      <c r="F62" s="594"/>
      <c r="G62" s="596"/>
      <c r="H62" s="596"/>
      <c r="I62" s="597"/>
      <c r="J62" s="597"/>
    </row>
    <row r="63" spans="1:13" ht="15.75" customHeight="1" thickBot="1">
      <c r="A63" s="702"/>
      <c r="B63" s="662"/>
      <c r="C63" s="703"/>
      <c r="D63" s="703"/>
      <c r="E63" s="1068" t="str">
        <f>E42</f>
        <v>Current Year 23-24 ***</v>
      </c>
      <c r="F63" s="1069"/>
      <c r="G63" s="1068" t="str">
        <f>G42</f>
        <v>Previous  Year 22-23*</v>
      </c>
      <c r="H63" s="1069"/>
      <c r="I63" s="1076" t="s">
        <v>1435</v>
      </c>
      <c r="J63" s="1073"/>
    </row>
    <row r="64" spans="1:13" ht="0.75" customHeight="1" thickBot="1">
      <c r="A64" s="668"/>
      <c r="B64" s="669"/>
      <c r="C64" s="670"/>
      <c r="D64" s="670"/>
      <c r="E64" s="602"/>
      <c r="F64" s="602"/>
      <c r="G64" s="671"/>
      <c r="H64" s="671"/>
      <c r="I64" s="672"/>
      <c r="J64" s="673"/>
    </row>
    <row r="65" spans="1:40" ht="64.5" customHeight="1" thickBot="1">
      <c r="A65" s="598"/>
      <c r="B65" s="704"/>
      <c r="C65" s="705"/>
      <c r="D65" s="599"/>
      <c r="E65" s="676" t="str">
        <f>E7</f>
        <v>4th Quarter Jan'24 to Mar'24</v>
      </c>
      <c r="F65" s="676" t="str">
        <f>F7</f>
        <v xml:space="preserve">Cumulative Up to 4th quarter </v>
      </c>
      <c r="G65" s="677" t="str">
        <f>G7</f>
        <v>4th Quarter Jan'23 to Mar'23</v>
      </c>
      <c r="H65" s="677" t="str">
        <f>H7</f>
        <v xml:space="preserve">Cumulative Up to 4th quarter </v>
      </c>
      <c r="I65" s="677" t="str">
        <f>I44</f>
        <v>4th  Quarter</v>
      </c>
      <c r="J65" s="678" t="str">
        <f>J44</f>
        <v>Cumulative up to 4th  Qtr</v>
      </c>
      <c r="AM65" s="593" t="s">
        <v>1478</v>
      </c>
      <c r="AN65" s="593" t="s">
        <v>1479</v>
      </c>
    </row>
    <row r="66" spans="1:40" ht="21" customHeight="1" thickBot="1">
      <c r="A66" s="706"/>
      <c r="B66" s="707">
        <v>1</v>
      </c>
      <c r="C66" s="708" t="s">
        <v>1480</v>
      </c>
      <c r="D66" s="709" t="s">
        <v>1454</v>
      </c>
      <c r="E66" s="1027">
        <f>+'Financial Data -SOP'!E14</f>
        <v>3367.0999999999985</v>
      </c>
      <c r="F66" s="710">
        <f>+'Financial Data -SOP'!F14</f>
        <v>21056.66</v>
      </c>
      <c r="G66" s="710">
        <v>5361.17</v>
      </c>
      <c r="H66" s="710">
        <v>21015.1</v>
      </c>
      <c r="I66" s="685">
        <f>E66/G66-100%</f>
        <v>-0.37194679519582508</v>
      </c>
      <c r="J66" s="685">
        <f>F66/H66-100%</f>
        <v>1.9776256120600522E-3</v>
      </c>
      <c r="K66" s="1023">
        <f>12598461189/10^7</f>
        <v>1259.8461189</v>
      </c>
      <c r="AM66" s="593">
        <v>11881.51</v>
      </c>
      <c r="AN66" s="593">
        <f>+AM66/4</f>
        <v>2970.3775000000001</v>
      </c>
    </row>
    <row r="67" spans="1:40" ht="21" customHeight="1">
      <c r="A67" s="639"/>
      <c r="B67" s="711">
        <v>2</v>
      </c>
      <c r="C67" s="712" t="s">
        <v>1481</v>
      </c>
      <c r="D67" s="682" t="s">
        <v>1454</v>
      </c>
      <c r="E67" s="641">
        <f>+'Financial Data -SOP'!E18</f>
        <v>109.69999999999999</v>
      </c>
      <c r="F67" s="641">
        <f>+'Financial Data -SOP'!F18</f>
        <v>533.28</v>
      </c>
      <c r="G67" s="641">
        <v>70.27</v>
      </c>
      <c r="H67" s="641">
        <v>457.32</v>
      </c>
      <c r="I67" s="685">
        <f t="shared" ref="I67:J83" si="8">E67/G67-100%</f>
        <v>0.56112138892841879</v>
      </c>
      <c r="J67" s="685">
        <f t="shared" si="8"/>
        <v>0.16609813697192344</v>
      </c>
      <c r="L67" s="713">
        <v>116.83</v>
      </c>
      <c r="M67" s="713">
        <f>$N$69/$L$73*L67</f>
        <v>105.73810645437202</v>
      </c>
      <c r="N67" s="713"/>
      <c r="O67" s="713"/>
      <c r="AM67" s="593">
        <v>553.29</v>
      </c>
      <c r="AN67" s="593">
        <f t="shared" ref="AN67:AN74" si="9">+AM67/4</f>
        <v>138.32249999999999</v>
      </c>
    </row>
    <row r="68" spans="1:40" ht="21" customHeight="1">
      <c r="A68" s="639"/>
      <c r="B68" s="711">
        <v>3</v>
      </c>
      <c r="C68" s="712" t="s">
        <v>1482</v>
      </c>
      <c r="D68" s="682" t="s">
        <v>1454</v>
      </c>
      <c r="E68" s="641">
        <f>+'Financial Data -SOP'!E23</f>
        <v>100.27000000000001</v>
      </c>
      <c r="F68" s="641">
        <f>+'Financial Data -SOP'!F23</f>
        <v>234.25</v>
      </c>
      <c r="G68" s="641">
        <v>16.66</v>
      </c>
      <c r="H68" s="641">
        <v>97.84</v>
      </c>
      <c r="I68" s="685">
        <f t="shared" si="8"/>
        <v>5.0186074429771912</v>
      </c>
      <c r="J68" s="685">
        <f t="shared" si="8"/>
        <v>1.3942150449713817</v>
      </c>
      <c r="L68" s="713"/>
      <c r="M68" s="713"/>
      <c r="N68" s="713"/>
      <c r="O68" s="713"/>
      <c r="AM68" s="593">
        <v>109.08</v>
      </c>
      <c r="AN68" s="593">
        <f t="shared" si="9"/>
        <v>27.27</v>
      </c>
    </row>
    <row r="69" spans="1:40" ht="21" customHeight="1">
      <c r="A69" s="639"/>
      <c r="B69" s="711">
        <v>4</v>
      </c>
      <c r="C69" s="712" t="s">
        <v>24</v>
      </c>
      <c r="D69" s="682" t="s">
        <v>1454</v>
      </c>
      <c r="E69" s="641">
        <f>+'Financial Data -SOP'!E19</f>
        <v>0</v>
      </c>
      <c r="F69" s="641">
        <f>+'Financial Data -SOP'!F19</f>
        <v>66.2</v>
      </c>
      <c r="G69" s="641">
        <v>5.78</v>
      </c>
      <c r="H69" s="641">
        <v>68.53</v>
      </c>
      <c r="I69" s="685">
        <f t="shared" si="8"/>
        <v>-1</v>
      </c>
      <c r="J69" s="685">
        <f t="shared" si="8"/>
        <v>-3.3999708157011477E-2</v>
      </c>
      <c r="L69" s="713">
        <v>13.06</v>
      </c>
      <c r="M69" s="713">
        <f>$N$69/$L$73*L69</f>
        <v>11.820077636686626</v>
      </c>
      <c r="N69" s="713">
        <v>137.56</v>
      </c>
      <c r="O69" s="713"/>
      <c r="AM69" s="593">
        <v>66.180000000000007</v>
      </c>
      <c r="AN69" s="593">
        <f t="shared" si="9"/>
        <v>16.545000000000002</v>
      </c>
    </row>
    <row r="70" spans="1:40" ht="21" customHeight="1">
      <c r="A70" s="639"/>
      <c r="B70" s="711">
        <v>5</v>
      </c>
      <c r="C70" s="712" t="s">
        <v>1483</v>
      </c>
      <c r="D70" s="682" t="s">
        <v>1454</v>
      </c>
      <c r="E70" s="641">
        <f>+'Financial Data -SOP'!E22</f>
        <v>109.31</v>
      </c>
      <c r="F70" s="641">
        <f>+'Financial Data -SOP'!F22</f>
        <v>442.84</v>
      </c>
      <c r="G70" s="641">
        <v>105.63</v>
      </c>
      <c r="H70" s="641">
        <v>404.1</v>
      </c>
      <c r="I70" s="685">
        <f t="shared" si="8"/>
        <v>3.4838587522484143E-2</v>
      </c>
      <c r="J70" s="685">
        <f t="shared" si="8"/>
        <v>9.5867359564464127E-2</v>
      </c>
      <c r="L70" s="713"/>
      <c r="M70" s="713"/>
      <c r="N70" s="713"/>
      <c r="O70" s="713"/>
      <c r="AM70" s="593">
        <v>337.94</v>
      </c>
      <c r="AN70" s="593">
        <f t="shared" si="9"/>
        <v>84.484999999999999</v>
      </c>
    </row>
    <row r="71" spans="1:40" ht="21" customHeight="1">
      <c r="A71" s="639"/>
      <c r="B71" s="711">
        <v>6</v>
      </c>
      <c r="C71" s="712" t="s">
        <v>1484</v>
      </c>
      <c r="D71" s="682" t="s">
        <v>1454</v>
      </c>
      <c r="E71" s="641">
        <f>+'Financial Data -SOP'!E20</f>
        <v>1733.57</v>
      </c>
      <c r="F71" s="641">
        <f>+'Financial Data -SOP'!F20</f>
        <v>1827.19</v>
      </c>
      <c r="G71" s="641">
        <v>30.29</v>
      </c>
      <c r="H71" s="641">
        <v>104.63</v>
      </c>
      <c r="I71" s="685">
        <f t="shared" si="8"/>
        <v>56.232419940574445</v>
      </c>
      <c r="J71" s="685">
        <f t="shared" si="8"/>
        <v>16.463347032399888</v>
      </c>
      <c r="L71" s="713">
        <v>22.1</v>
      </c>
      <c r="M71" s="713">
        <f>$N$69/$L$73*L71</f>
        <v>20.001815908941381</v>
      </c>
      <c r="N71" s="713"/>
      <c r="O71" s="713"/>
      <c r="AM71" s="593">
        <v>113.51</v>
      </c>
      <c r="AN71" s="593">
        <f t="shared" si="9"/>
        <v>28.377500000000001</v>
      </c>
    </row>
    <row r="72" spans="1:40" ht="21" customHeight="1">
      <c r="A72" s="639"/>
      <c r="B72" s="711" t="s">
        <v>1485</v>
      </c>
      <c r="C72" s="712" t="s">
        <v>1486</v>
      </c>
      <c r="D72" s="682" t="s">
        <v>1454</v>
      </c>
      <c r="E72" s="641">
        <v>0</v>
      </c>
      <c r="F72" s="710">
        <f t="shared" ref="F72:F78" si="10">E72</f>
        <v>0</v>
      </c>
      <c r="G72" s="641">
        <v>0</v>
      </c>
      <c r="H72" s="641">
        <v>0</v>
      </c>
      <c r="I72" s="685">
        <v>0</v>
      </c>
      <c r="J72" s="685">
        <v>0</v>
      </c>
      <c r="L72" s="713"/>
      <c r="M72" s="713"/>
      <c r="N72" s="713"/>
      <c r="O72" s="713"/>
      <c r="AN72" s="593">
        <f t="shared" si="9"/>
        <v>0</v>
      </c>
    </row>
    <row r="73" spans="1:40" ht="21" customHeight="1">
      <c r="A73" s="639"/>
      <c r="B73" s="711">
        <v>7</v>
      </c>
      <c r="C73" s="714" t="s">
        <v>1487</v>
      </c>
      <c r="D73" s="682" t="s">
        <v>1454</v>
      </c>
      <c r="E73" s="641">
        <f>+'Financial Data -SOP'!E24</f>
        <v>-2.4969000000000001</v>
      </c>
      <c r="F73" s="641">
        <f>+'Financial Data -SOP'!F24</f>
        <v>-1.0368999999999999</v>
      </c>
      <c r="G73" s="641">
        <v>2.33</v>
      </c>
      <c r="H73" s="641">
        <v>11.15</v>
      </c>
      <c r="I73" s="685">
        <v>0</v>
      </c>
      <c r="J73" s="685">
        <f t="shared" si="8"/>
        <v>-1.0929955156950673</v>
      </c>
      <c r="L73" s="713">
        <f>L67+L69+L71</f>
        <v>151.98999999999998</v>
      </c>
      <c r="M73" s="713"/>
      <c r="N73" s="713"/>
      <c r="O73" s="713"/>
      <c r="AM73" s="593">
        <f>-99.63+6.74</f>
        <v>-92.89</v>
      </c>
      <c r="AN73" s="593">
        <f t="shared" si="9"/>
        <v>-23.2225</v>
      </c>
    </row>
    <row r="74" spans="1:40" s="633" customFormat="1" ht="21" customHeight="1">
      <c r="A74" s="628"/>
      <c r="B74" s="715">
        <v>8</v>
      </c>
      <c r="C74" s="624" t="s">
        <v>1488</v>
      </c>
      <c r="D74" s="628" t="s">
        <v>1457</v>
      </c>
      <c r="E74" s="1028">
        <f>SUM(E66:E73)</f>
        <v>5417.4530999999979</v>
      </c>
      <c r="F74" s="716">
        <f>SUM(F66:F73)</f>
        <v>24159.383099999999</v>
      </c>
      <c r="G74" s="716">
        <f t="shared" ref="G74:H74" si="11">SUM(G66:G73)</f>
        <v>5592.13</v>
      </c>
      <c r="H74" s="716">
        <f t="shared" si="11"/>
        <v>22158.67</v>
      </c>
      <c r="I74" s="717">
        <f t="shared" si="8"/>
        <v>-3.1236201590449819E-2</v>
      </c>
      <c r="J74" s="717">
        <f t="shared" si="8"/>
        <v>9.0290306232278406E-2</v>
      </c>
      <c r="K74" s="593"/>
      <c r="AM74" s="633">
        <f>SUM(AM66:AM73)</f>
        <v>12968.62</v>
      </c>
      <c r="AN74" s="593">
        <f t="shared" si="9"/>
        <v>3242.1550000000002</v>
      </c>
    </row>
    <row r="75" spans="1:40" s="620" customFormat="1" ht="21" customHeight="1">
      <c r="A75" s="644"/>
      <c r="B75" s="711">
        <v>9</v>
      </c>
      <c r="C75" s="712" t="s">
        <v>1489</v>
      </c>
      <c r="D75" s="682" t="s">
        <v>1454</v>
      </c>
      <c r="E75" s="1041">
        <f>F75-723.52</f>
        <v>939.93000000000006</v>
      </c>
      <c r="F75" s="1041">
        <v>1663.45</v>
      </c>
      <c r="G75" s="641">
        <v>394</v>
      </c>
      <c r="H75" s="641">
        <v>874</v>
      </c>
      <c r="I75" s="685">
        <f t="shared" si="8"/>
        <v>1.3856091370558379</v>
      </c>
      <c r="J75" s="685">
        <f t="shared" si="8"/>
        <v>0.90326086956521734</v>
      </c>
      <c r="K75" s="620">
        <v>220</v>
      </c>
      <c r="AG75" s="659"/>
    </row>
    <row r="76" spans="1:40" s="620" customFormat="1" ht="21" customHeight="1">
      <c r="A76" s="644"/>
      <c r="B76" s="711">
        <v>10</v>
      </c>
      <c r="C76" s="712" t="s">
        <v>1490</v>
      </c>
      <c r="D76" s="682" t="s">
        <v>1454</v>
      </c>
      <c r="E76" s="641">
        <v>0</v>
      </c>
      <c r="F76" s="710">
        <f t="shared" si="10"/>
        <v>0</v>
      </c>
      <c r="G76" s="687">
        <v>0</v>
      </c>
      <c r="H76" s="687">
        <v>0</v>
      </c>
      <c r="I76" s="685">
        <v>0</v>
      </c>
      <c r="J76" s="685">
        <v>0</v>
      </c>
      <c r="K76" s="718"/>
    </row>
    <row r="77" spans="1:40" s="620" customFormat="1" ht="21" customHeight="1">
      <c r="A77" s="644"/>
      <c r="B77" s="711">
        <v>11</v>
      </c>
      <c r="C77" s="712" t="s">
        <v>1491</v>
      </c>
      <c r="D77" s="682" t="s">
        <v>1454</v>
      </c>
      <c r="E77" s="641">
        <f>+'Financial Data -SOP'!E9</f>
        <v>128.28999999999996</v>
      </c>
      <c r="F77" s="641">
        <f>+'Financial Data -SOP'!F9</f>
        <v>404.58</v>
      </c>
      <c r="G77" s="641">
        <v>81.319999999999993</v>
      </c>
      <c r="H77" s="641">
        <v>284.83999999999997</v>
      </c>
      <c r="I77" s="685">
        <f t="shared" si="8"/>
        <v>0.57759468765371347</v>
      </c>
      <c r="J77" s="685">
        <f t="shared" si="8"/>
        <v>0.42037635163600617</v>
      </c>
    </row>
    <row r="78" spans="1:40" s="620" customFormat="1" ht="34.5" customHeight="1">
      <c r="A78" s="644"/>
      <c r="B78" s="711">
        <v>12</v>
      </c>
      <c r="C78" s="719" t="s">
        <v>1492</v>
      </c>
      <c r="D78" s="682" t="s">
        <v>1454</v>
      </c>
      <c r="E78" s="641">
        <v>0</v>
      </c>
      <c r="F78" s="710">
        <f t="shared" si="10"/>
        <v>0</v>
      </c>
      <c r="G78" s="687">
        <v>0</v>
      </c>
      <c r="H78" s="687">
        <v>0</v>
      </c>
      <c r="I78" s="685" t="s">
        <v>1493</v>
      </c>
      <c r="J78" s="685" t="s">
        <v>1493</v>
      </c>
    </row>
    <row r="79" spans="1:40" s="620" customFormat="1" ht="21" customHeight="1">
      <c r="A79" s="644"/>
      <c r="B79" s="711">
        <v>13</v>
      </c>
      <c r="C79" s="712" t="s">
        <v>1494</v>
      </c>
      <c r="D79" s="682" t="s">
        <v>1454</v>
      </c>
      <c r="E79" s="641">
        <f>+'Financial Data -SOP'!E7</f>
        <v>6791.5799999999981</v>
      </c>
      <c r="F79" s="641">
        <f>+'Financial Data -SOP'!F7</f>
        <v>25208.789999999997</v>
      </c>
      <c r="G79" s="641">
        <v>5474.89</v>
      </c>
      <c r="H79" s="641">
        <v>21479.21</v>
      </c>
      <c r="I79" s="685">
        <f t="shared" si="8"/>
        <v>0.24049615608715391</v>
      </c>
      <c r="J79" s="685">
        <f t="shared" si="8"/>
        <v>0.17363673989872064</v>
      </c>
      <c r="AG79" s="659">
        <f>12821.31*100</f>
        <v>1282131</v>
      </c>
    </row>
    <row r="80" spans="1:40" s="620" customFormat="1" ht="21" customHeight="1">
      <c r="A80" s="644"/>
      <c r="B80" s="683">
        <v>14</v>
      </c>
      <c r="C80" s="712" t="s">
        <v>1495</v>
      </c>
      <c r="D80" s="682" t="s">
        <v>1454</v>
      </c>
      <c r="E80" s="710">
        <f>F80-39.1</f>
        <v>13.149999999999999</v>
      </c>
      <c r="F80" s="710">
        <v>52.25</v>
      </c>
      <c r="G80" s="710">
        <v>29.27</v>
      </c>
      <c r="H80" s="687">
        <v>130.44999999999999</v>
      </c>
      <c r="I80" s="685">
        <f t="shared" si="8"/>
        <v>-0.55073454048513848</v>
      </c>
      <c r="J80" s="685">
        <f t="shared" si="8"/>
        <v>-0.59946339593714071</v>
      </c>
    </row>
    <row r="81" spans="1:34" ht="21" customHeight="1">
      <c r="A81" s="639"/>
      <c r="B81" s="711">
        <v>15</v>
      </c>
      <c r="C81" s="712" t="s">
        <v>1496</v>
      </c>
      <c r="D81" s="682" t="s">
        <v>1454</v>
      </c>
      <c r="E81" s="710">
        <f>+'Financial Data -SOP'!E10-SUM('Glance-SOP'!E76:E80)</f>
        <v>79.329999999999927</v>
      </c>
      <c r="F81" s="710">
        <f>+'Financial Data -SOP'!F10-SUM('Glance-SOP'!F76:F80)</f>
        <v>460.52000000000044</v>
      </c>
      <c r="G81" s="710">
        <v>12.91</v>
      </c>
      <c r="H81" s="687">
        <v>70.28</v>
      </c>
      <c r="I81" s="685">
        <f t="shared" si="8"/>
        <v>5.144848954298987</v>
      </c>
      <c r="J81" s="685">
        <f t="shared" si="8"/>
        <v>5.5526465566306262</v>
      </c>
      <c r="K81" s="620"/>
    </row>
    <row r="82" spans="1:34" ht="21" customHeight="1">
      <c r="A82" s="639"/>
      <c r="B82" s="715">
        <v>16</v>
      </c>
      <c r="C82" s="624" t="s">
        <v>1497</v>
      </c>
      <c r="D82" s="628" t="s">
        <v>1457</v>
      </c>
      <c r="E82" s="720">
        <f>SUM(E77:E81)</f>
        <v>7012.3499999999976</v>
      </c>
      <c r="F82" s="720">
        <f>SUM(F77:F81)</f>
        <v>26126.14</v>
      </c>
      <c r="G82" s="720">
        <f>SUM(G77:G81)</f>
        <v>5598.39</v>
      </c>
      <c r="H82" s="720">
        <f>SUM(H77:H81)</f>
        <v>21964.78</v>
      </c>
      <c r="I82" s="717">
        <f t="shared" si="8"/>
        <v>0.25256546971539984</v>
      </c>
      <c r="J82" s="717">
        <f t="shared" si="8"/>
        <v>0.18945602915212456</v>
      </c>
    </row>
    <row r="83" spans="1:34" s="620" customFormat="1" ht="31.5" thickBot="1">
      <c r="A83" s="721"/>
      <c r="B83" s="722">
        <v>17</v>
      </c>
      <c r="C83" s="723" t="s">
        <v>1498</v>
      </c>
      <c r="D83" s="724" t="s">
        <v>1418</v>
      </c>
      <c r="E83" s="725">
        <f>E66/E74</f>
        <v>0.62152822329001789</v>
      </c>
      <c r="F83" s="725">
        <f>F66/F74</f>
        <v>0.87157275137542733</v>
      </c>
      <c r="G83" s="725">
        <f t="shared" ref="G83:H83" si="12">G66/G74</f>
        <v>0.95869910034280315</v>
      </c>
      <c r="H83" s="725">
        <f t="shared" si="12"/>
        <v>0.94839175816960131</v>
      </c>
      <c r="I83" s="725">
        <f t="shared" si="8"/>
        <v>-0.35169624852283965</v>
      </c>
      <c r="J83" s="632">
        <f t="shared" si="8"/>
        <v>-8.0999234896805605E-2</v>
      </c>
      <c r="AH83" s="659">
        <f>F82-AH84</f>
        <v>16398.12</v>
      </c>
    </row>
    <row r="84" spans="1:34" ht="13.5" thickBot="1">
      <c r="A84" s="1062" t="s">
        <v>1499</v>
      </c>
      <c r="B84" s="1063"/>
      <c r="C84" s="1063"/>
      <c r="D84" s="1063"/>
      <c r="E84" s="1063"/>
      <c r="F84" s="1063"/>
      <c r="G84" s="1063"/>
      <c r="H84" s="1063"/>
      <c r="I84" s="1063"/>
      <c r="J84" s="1064"/>
      <c r="AH84" s="593">
        <v>9728.02</v>
      </c>
    </row>
    <row r="85" spans="1:34" ht="13.5" thickBot="1">
      <c r="A85" s="1062" t="s">
        <v>1724</v>
      </c>
      <c r="B85" s="1063"/>
      <c r="C85" s="1063"/>
      <c r="D85" s="1063"/>
      <c r="E85" s="1063"/>
      <c r="F85" s="1063"/>
      <c r="G85" s="1063"/>
      <c r="H85" s="1063"/>
      <c r="I85" s="1063"/>
      <c r="J85" s="1064"/>
      <c r="AH85" s="593">
        <f>F82-AH84</f>
        <v>16398.12</v>
      </c>
    </row>
  </sheetData>
  <mergeCells count="22">
    <mergeCell ref="A59:H59"/>
    <mergeCell ref="A61:H61"/>
    <mergeCell ref="I61:J61"/>
    <mergeCell ref="E63:F63"/>
    <mergeCell ref="G63:H63"/>
    <mergeCell ref="I63:J63"/>
    <mergeCell ref="A85:J85"/>
    <mergeCell ref="A1:H1"/>
    <mergeCell ref="A3:H3"/>
    <mergeCell ref="I3:J3"/>
    <mergeCell ref="E5:F5"/>
    <mergeCell ref="G5:H5"/>
    <mergeCell ref="I5:J5"/>
    <mergeCell ref="A36:J36"/>
    <mergeCell ref="A38:H38"/>
    <mergeCell ref="A40:H40"/>
    <mergeCell ref="I40:J40"/>
    <mergeCell ref="E42:F42"/>
    <mergeCell ref="G42:H42"/>
    <mergeCell ref="I42:J42"/>
    <mergeCell ref="A84:J84"/>
    <mergeCell ref="C58:J58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rowBreaks count="2" manualBreakCount="2">
    <brk id="37" max="16383" man="1"/>
    <brk id="58" max="16383" man="1"/>
  </rowBreaks>
  <legacyDrawing r:id="rId2"/>
  <oleObjects>
    <oleObject progId="PBrush" shapeId="1025" r:id="rId3"/>
    <oleObject progId="PBrush" shapeId="1026" r:id="rId4"/>
    <oleObject progId="PBrush" shapeId="1027" r:id="rId5"/>
    <oleObject progId="PBrush" shapeId="1028" r:id="rId6"/>
    <oleObject progId="PBrush" shapeId="1029" r:id="rId7"/>
    <oleObject progId="PBrush" shapeId="1030" r:id="rId8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24"/>
  <sheetViews>
    <sheetView view="pageBreakPreview" zoomScale="60" workbookViewId="0">
      <pane xSplit="3" ySplit="1" topLeftCell="D20" activePane="bottomRight" state="frozen"/>
      <selection activeCell="F30" sqref="F30"/>
      <selection pane="topRight" activeCell="F30" sqref="F30"/>
      <selection pane="bottomLeft" activeCell="F30" sqref="F30"/>
      <selection pane="bottomRight" activeCell="F30" sqref="F30"/>
    </sheetView>
  </sheetViews>
  <sheetFormatPr defaultRowHeight="15"/>
  <cols>
    <col min="1" max="1" width="8.28515625" style="561" customWidth="1"/>
    <col min="2" max="2" width="40.7109375" style="561" customWidth="1"/>
    <col min="3" max="3" width="13.28515625" style="561" customWidth="1"/>
    <col min="4" max="4" width="15.7109375" style="561" customWidth="1"/>
    <col min="5" max="5" width="18.28515625" style="561" customWidth="1"/>
    <col min="6" max="6" width="13.7109375" style="561" customWidth="1"/>
    <col min="7" max="7" width="15.7109375" style="561" customWidth="1"/>
    <col min="8" max="8" width="9.140625" style="561"/>
    <col min="9" max="9" width="11" style="561" bestFit="1" customWidth="1"/>
    <col min="10" max="16384" width="9.140625" style="561"/>
  </cols>
  <sheetData>
    <row r="1" spans="1:12" ht="36" customHeight="1" thickBot="1">
      <c r="A1" s="558" t="s">
        <v>1374</v>
      </c>
      <c r="B1" s="559" t="s">
        <v>1</v>
      </c>
      <c r="C1" s="559" t="s">
        <v>1375</v>
      </c>
      <c r="D1" s="560" t="s">
        <v>1376</v>
      </c>
      <c r="E1" s="560" t="s">
        <v>1377</v>
      </c>
      <c r="F1" s="560" t="s">
        <v>1378</v>
      </c>
      <c r="G1" s="560" t="s">
        <v>1379</v>
      </c>
    </row>
    <row r="2" spans="1:12" ht="24.95" customHeight="1" thickBot="1">
      <c r="A2" s="562" t="s">
        <v>1380</v>
      </c>
      <c r="B2" s="563" t="s">
        <v>1384</v>
      </c>
      <c r="C2" s="564" t="s">
        <v>1381</v>
      </c>
      <c r="D2" s="581">
        <f>+E2-15363</f>
        <v>7285.799662999998</v>
      </c>
      <c r="E2" s="581">
        <f>+'PP 22-23'!C31</f>
        <v>22648.799662999998</v>
      </c>
      <c r="F2" s="582">
        <v>7050</v>
      </c>
      <c r="G2" s="582">
        <v>19500</v>
      </c>
    </row>
    <row r="3" spans="1:12" ht="24.95" customHeight="1" thickBot="1">
      <c r="A3" s="562" t="s">
        <v>1382</v>
      </c>
      <c r="B3" s="563" t="s">
        <v>1386</v>
      </c>
      <c r="C3" s="564" t="s">
        <v>1381</v>
      </c>
      <c r="D3" s="581">
        <f>+'31.12.2023'!E57</f>
        <v>38.51318100000028</v>
      </c>
      <c r="E3" s="581">
        <f>+'31.12.2023'!F57</f>
        <v>87.993181000000277</v>
      </c>
      <c r="F3" s="582">
        <v>0</v>
      </c>
      <c r="G3" s="583">
        <v>0</v>
      </c>
    </row>
    <row r="4" spans="1:12" ht="24.95" customHeight="1" thickBot="1">
      <c r="A4" s="588" t="s">
        <v>1383</v>
      </c>
      <c r="B4" s="563" t="s">
        <v>1430</v>
      </c>
      <c r="C4" s="564" t="s">
        <v>1381</v>
      </c>
      <c r="D4" s="581">
        <f>+D2-D3</f>
        <v>7247.2864819999977</v>
      </c>
      <c r="E4" s="581">
        <f>+E2-E3</f>
        <v>22560.806481999996</v>
      </c>
      <c r="F4" s="581">
        <f t="shared" ref="F4:G4" si="0">+F2-F3</f>
        <v>7050</v>
      </c>
      <c r="G4" s="581">
        <f t="shared" si="0"/>
        <v>19500</v>
      </c>
    </row>
    <row r="5" spans="1:12" ht="35.25" customHeight="1" thickBot="1">
      <c r="A5" s="588" t="s">
        <v>1385</v>
      </c>
      <c r="B5" s="568" t="s">
        <v>1389</v>
      </c>
      <c r="C5" s="564" t="s">
        <v>1381</v>
      </c>
      <c r="D5" s="581">
        <f>+E5-763</f>
        <v>347</v>
      </c>
      <c r="E5" s="581">
        <f>870+240</f>
        <v>1110</v>
      </c>
      <c r="F5" s="582">
        <v>288</v>
      </c>
      <c r="G5" s="582">
        <v>871</v>
      </c>
      <c r="I5" s="561">
        <v>3.73</v>
      </c>
      <c r="J5" s="561">
        <v>3.8955000000000002</v>
      </c>
      <c r="K5" s="573" t="s">
        <v>1425</v>
      </c>
    </row>
    <row r="6" spans="1:12" ht="24.95" customHeight="1" thickBot="1">
      <c r="A6" s="588" t="s">
        <v>1387</v>
      </c>
      <c r="B6" s="563" t="s">
        <v>1431</v>
      </c>
      <c r="C6" s="564" t="s">
        <v>1381</v>
      </c>
      <c r="D6" s="581">
        <f>+D4-D5</f>
        <v>6900.2864819999977</v>
      </c>
      <c r="E6" s="581">
        <f>+E4-E5</f>
        <v>21450.806481999996</v>
      </c>
      <c r="F6" s="581">
        <f t="shared" ref="F6" si="1">+F4-F5</f>
        <v>6762</v>
      </c>
      <c r="G6" s="581">
        <f>+G4-G5</f>
        <v>18629</v>
      </c>
      <c r="J6" s="566">
        <f>(+E4-240)*J5%</f>
        <v>869.50701650630992</v>
      </c>
      <c r="K6" s="561">
        <v>240</v>
      </c>
      <c r="L6" s="566">
        <f>+J6+K6</f>
        <v>1109.5070165063098</v>
      </c>
    </row>
    <row r="7" spans="1:12" ht="24.95" customHeight="1" thickBot="1">
      <c r="A7" s="588" t="s">
        <v>1388</v>
      </c>
      <c r="B7" s="563" t="s">
        <v>1392</v>
      </c>
      <c r="C7" s="564" t="s">
        <v>1381</v>
      </c>
      <c r="D7" s="581">
        <f>+'31.12.2023'!E59+'31.12.2023'!E57</f>
        <v>6999.7500505800035</v>
      </c>
      <c r="E7" s="581">
        <f>+'31.12.2023'!F59+'31.12.2023'!F57</f>
        <v>21567.230050580005</v>
      </c>
      <c r="F7" s="582">
        <v>6241</v>
      </c>
      <c r="G7" s="582">
        <v>17518</v>
      </c>
    </row>
    <row r="8" spans="1:12" ht="24.95" customHeight="1" thickBot="1">
      <c r="A8" s="588" t="s">
        <v>1390</v>
      </c>
      <c r="B8" s="563" t="s">
        <v>1394</v>
      </c>
      <c r="C8" s="564" t="s">
        <v>1381</v>
      </c>
      <c r="D8" s="581">
        <f>+D7-D3</f>
        <v>6961.2368695800033</v>
      </c>
      <c r="E8" s="581">
        <f t="shared" ref="E8:G8" si="2">+E7-E3</f>
        <v>21479.236869580003</v>
      </c>
      <c r="F8" s="581">
        <f t="shared" si="2"/>
        <v>6241</v>
      </c>
      <c r="G8" s="581">
        <f t="shared" si="2"/>
        <v>17518</v>
      </c>
      <c r="H8" s="566"/>
    </row>
    <row r="9" spans="1:12" ht="24.95" customHeight="1" thickBot="1">
      <c r="A9" s="588" t="s">
        <v>1391</v>
      </c>
      <c r="B9" s="563" t="s">
        <v>1396</v>
      </c>
      <c r="C9" s="564" t="s">
        <v>1397</v>
      </c>
      <c r="D9" s="584">
        <f>+'31.12.2023'!E11+'31.12.2023'!E13</f>
        <v>5304.8101660700004</v>
      </c>
      <c r="E9" s="584">
        <f>+'31.12.2023'!F11+'31.12.2023'!F13</f>
        <v>16043.053455113999</v>
      </c>
      <c r="F9" s="582">
        <v>4577.6000000000004</v>
      </c>
      <c r="G9" s="583">
        <v>12288.83</v>
      </c>
    </row>
    <row r="10" spans="1:12" ht="35.25" customHeight="1" thickBot="1">
      <c r="A10" s="588" t="s">
        <v>1393</v>
      </c>
      <c r="B10" s="568" t="s">
        <v>1399</v>
      </c>
      <c r="C10" s="564" t="s">
        <v>1397</v>
      </c>
      <c r="D10" s="567">
        <f>+'31.12.2023'!E12</f>
        <v>2.79</v>
      </c>
      <c r="E10" s="567">
        <f>+'31.12.2023'!F12</f>
        <v>18.64</v>
      </c>
      <c r="F10" s="574">
        <v>0</v>
      </c>
      <c r="G10" s="574">
        <v>0</v>
      </c>
    </row>
    <row r="11" spans="1:12" ht="24.95" customHeight="1" thickBot="1">
      <c r="A11" s="588" t="s">
        <v>1395</v>
      </c>
      <c r="B11" s="568" t="s">
        <v>1401</v>
      </c>
      <c r="C11" s="564" t="s">
        <v>1397</v>
      </c>
      <c r="D11" s="569">
        <f>+E11-210.1</f>
        <v>114.3475</v>
      </c>
      <c r="E11" s="567">
        <f>+'subsidy in P&amp;L'!F8</f>
        <v>324.44749999999999</v>
      </c>
      <c r="F11" s="574">
        <v>88.35</v>
      </c>
      <c r="G11" s="575">
        <v>245.18</v>
      </c>
    </row>
    <row r="12" spans="1:12" ht="24.95" customHeight="1">
      <c r="A12" s="1147" t="s">
        <v>1398</v>
      </c>
      <c r="B12" s="1153" t="s">
        <v>1403</v>
      </c>
      <c r="C12" s="1155" t="s">
        <v>1397</v>
      </c>
      <c r="D12" s="1157">
        <v>163.54999999999998</v>
      </c>
      <c r="E12" s="1157">
        <f>+E11</f>
        <v>324.44749999999999</v>
      </c>
      <c r="F12" s="1151">
        <v>88.35</v>
      </c>
      <c r="G12" s="1149">
        <v>245.18</v>
      </c>
    </row>
    <row r="13" spans="1:12" ht="15.75" thickBot="1">
      <c r="A13" s="1148"/>
      <c r="B13" s="1154"/>
      <c r="C13" s="1156"/>
      <c r="D13" s="1158"/>
      <c r="E13" s="1158"/>
      <c r="F13" s="1152"/>
      <c r="G13" s="1150"/>
    </row>
    <row r="14" spans="1:12" ht="33.75" customHeight="1" thickBot="1">
      <c r="A14" s="588" t="s">
        <v>1400</v>
      </c>
      <c r="B14" s="563" t="s">
        <v>1405</v>
      </c>
      <c r="C14" s="564" t="s">
        <v>1397</v>
      </c>
      <c r="D14" s="567">
        <f>+D9-D10-D11</f>
        <v>5187.6726660700006</v>
      </c>
      <c r="E14" s="567">
        <f>+E9-E10-E11</f>
        <v>15699.965955113999</v>
      </c>
      <c r="F14" s="567">
        <f t="shared" ref="F14:G14" si="3">+F9-F10-F11</f>
        <v>4489.25</v>
      </c>
      <c r="G14" s="567">
        <f t="shared" si="3"/>
        <v>12043.65</v>
      </c>
      <c r="I14" s="567"/>
    </row>
    <row r="15" spans="1:12" ht="30.75" thickBot="1">
      <c r="A15" s="587" t="s">
        <v>1402</v>
      </c>
      <c r="B15" s="568" t="s">
        <v>1407</v>
      </c>
      <c r="C15" s="564" t="s">
        <v>1397</v>
      </c>
      <c r="D15" s="567">
        <f>+D14+D12</f>
        <v>5351.2226660700007</v>
      </c>
      <c r="E15" s="567">
        <f t="shared" ref="E15:G15" si="4">+E14+E12</f>
        <v>16024.413455114</v>
      </c>
      <c r="F15" s="567">
        <f t="shared" si="4"/>
        <v>4577.6000000000004</v>
      </c>
      <c r="G15" s="567">
        <f t="shared" si="4"/>
        <v>12288.83</v>
      </c>
      <c r="I15" s="580"/>
    </row>
    <row r="16" spans="1:12" ht="24.95" customHeight="1" thickBot="1">
      <c r="A16" s="588" t="s">
        <v>1404</v>
      </c>
      <c r="B16" s="563" t="s">
        <v>1409</v>
      </c>
      <c r="C16" s="564" t="s">
        <v>1397</v>
      </c>
      <c r="D16" s="569">
        <v>-46.86</v>
      </c>
      <c r="E16" s="569">
        <v>-203.45</v>
      </c>
      <c r="F16" s="574">
        <v>183.09</v>
      </c>
      <c r="G16" s="574">
        <v>-115.24</v>
      </c>
    </row>
    <row r="17" spans="1:7" ht="24.95" customHeight="1" thickBot="1">
      <c r="A17" s="588" t="s">
        <v>1406</v>
      </c>
      <c r="B17" s="563" t="s">
        <v>1411</v>
      </c>
      <c r="C17" s="564" t="s">
        <v>1397</v>
      </c>
      <c r="D17" s="569">
        <v>-38.56</v>
      </c>
      <c r="E17" s="569">
        <f>+D17</f>
        <v>-38.56</v>
      </c>
      <c r="F17" s="574">
        <v>100.09</v>
      </c>
      <c r="G17" s="574">
        <v>100.09</v>
      </c>
    </row>
    <row r="18" spans="1:7" ht="31.5" customHeight="1" thickBot="1">
      <c r="A18" s="588" t="s">
        <v>1408</v>
      </c>
      <c r="B18" s="568" t="s">
        <v>1413</v>
      </c>
      <c r="C18" s="564" t="s">
        <v>1397</v>
      </c>
      <c r="D18" s="565">
        <v>0</v>
      </c>
      <c r="E18" s="565">
        <v>0</v>
      </c>
      <c r="F18" s="565">
        <v>0.04</v>
      </c>
      <c r="G18" s="565">
        <v>0.15</v>
      </c>
    </row>
    <row r="19" spans="1:7" ht="30.75" thickBot="1">
      <c r="A19" s="588" t="s">
        <v>1410</v>
      </c>
      <c r="B19" s="586" t="s">
        <v>1415</v>
      </c>
      <c r="C19" s="564" t="s">
        <v>1397</v>
      </c>
      <c r="D19" s="567">
        <f>+D15+D16-D17-D18</f>
        <v>5342.9226660700015</v>
      </c>
      <c r="E19" s="567">
        <f t="shared" ref="E19:F19" si="5">+E15+E16-E17-E18</f>
        <v>15859.523455113998</v>
      </c>
      <c r="F19" s="567">
        <f t="shared" si="5"/>
        <v>4660.5600000000004</v>
      </c>
      <c r="G19" s="567">
        <f>+G15+G16-G17-G18</f>
        <v>12073.35</v>
      </c>
    </row>
    <row r="20" spans="1:7" ht="15.75" thickBot="1">
      <c r="A20" s="588" t="s">
        <v>1412</v>
      </c>
      <c r="B20" s="586" t="s">
        <v>1427</v>
      </c>
      <c r="C20" s="564" t="s">
        <v>1418</v>
      </c>
      <c r="D20" s="567">
        <f>+D8/D6*100</f>
        <v>100.88330227649243</v>
      </c>
      <c r="E20" s="567">
        <f t="shared" ref="E20:G20" si="6">+E8/E6*100</f>
        <v>100.13253761626102</v>
      </c>
      <c r="F20" s="567">
        <f t="shared" si="6"/>
        <v>92.295178941141671</v>
      </c>
      <c r="G20" s="567">
        <f t="shared" si="6"/>
        <v>94.036180149229693</v>
      </c>
    </row>
    <row r="21" spans="1:7" ht="24.95" customHeight="1" thickBot="1">
      <c r="A21" s="585" t="s">
        <v>1414</v>
      </c>
      <c r="B21" s="568" t="s">
        <v>1417</v>
      </c>
      <c r="C21" s="564" t="s">
        <v>1418</v>
      </c>
      <c r="D21" s="567">
        <f>+D19*100/D15</f>
        <v>99.844895260056617</v>
      </c>
      <c r="E21" s="567">
        <f>+E19*100/E15</f>
        <v>98.971007578768024</v>
      </c>
      <c r="F21" s="567">
        <f>+F19*100/F15</f>
        <v>101.81230339042294</v>
      </c>
      <c r="G21" s="567">
        <f>+G19*100/G15</f>
        <v>98.246537709448333</v>
      </c>
    </row>
    <row r="22" spans="1:7" ht="24.95" customHeight="1" thickBot="1">
      <c r="A22" s="588" t="s">
        <v>1416</v>
      </c>
      <c r="B22" s="568" t="s">
        <v>1420</v>
      </c>
      <c r="C22" s="564" t="s">
        <v>1381</v>
      </c>
      <c r="D22" s="570">
        <f>+D8*D21%</f>
        <v>6950.4396612365981</v>
      </c>
      <c r="E22" s="570">
        <f>+E8*E21%</f>
        <v>21258.217150053559</v>
      </c>
      <c r="F22" s="570">
        <f>+F8*F21%</f>
        <v>6354.1058545962951</v>
      </c>
      <c r="G22" s="570">
        <f>+G8*G21%</f>
        <v>17210.828475941158</v>
      </c>
    </row>
    <row r="23" spans="1:7" ht="24.95" customHeight="1" thickBot="1">
      <c r="A23" s="588" t="s">
        <v>1419</v>
      </c>
      <c r="B23" s="568" t="s">
        <v>1422</v>
      </c>
      <c r="C23" s="564" t="s">
        <v>1381</v>
      </c>
      <c r="D23" s="570">
        <f>+D8-D22</f>
        <v>10.797208343405146</v>
      </c>
      <c r="E23" s="570">
        <f t="shared" ref="E23:G23" si="7">+E8-E22</f>
        <v>221.01971952644453</v>
      </c>
      <c r="F23" s="570">
        <f t="shared" si="7"/>
        <v>-113.1058545962951</v>
      </c>
      <c r="G23" s="570">
        <f t="shared" si="7"/>
        <v>307.1715240588419</v>
      </c>
    </row>
    <row r="24" spans="1:7" ht="15.75" thickBot="1">
      <c r="A24" s="588" t="s">
        <v>1421</v>
      </c>
      <c r="B24" s="568" t="s">
        <v>1423</v>
      </c>
      <c r="C24" s="564" t="s">
        <v>1418</v>
      </c>
      <c r="D24" s="567">
        <f>(100-(D20*D21)/100)</f>
        <v>-0.72682749285017678</v>
      </c>
      <c r="E24" s="567">
        <f t="shared" ref="E24:G24" si="8">(100-(E20*E21)/100)</f>
        <v>0.89781860699757488</v>
      </c>
      <c r="F24" s="567">
        <f t="shared" si="8"/>
        <v>6.0321524017111017</v>
      </c>
      <c r="G24" s="567">
        <f t="shared" si="8"/>
        <v>7.6127088091622852</v>
      </c>
    </row>
  </sheetData>
  <mergeCells count="7">
    <mergeCell ref="A12:A13"/>
    <mergeCell ref="G12:G13"/>
    <mergeCell ref="F12:F13"/>
    <mergeCell ref="B12:B13"/>
    <mergeCell ref="C12:C13"/>
    <mergeCell ref="D12:D13"/>
    <mergeCell ref="E12:E13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70"/>
  <sheetViews>
    <sheetView view="pageBreakPreview" zoomScale="95" zoomScaleSheetLayoutView="95" workbookViewId="0">
      <pane xSplit="1" ySplit="5" topLeftCell="B30" activePane="bottomRight" state="frozen"/>
      <selection activeCell="F30" sqref="F30"/>
      <selection pane="topRight" activeCell="F30" sqref="F30"/>
      <selection pane="bottomLeft" activeCell="F30" sqref="F30"/>
      <selection pane="bottomRight" activeCell="F30" sqref="F30"/>
    </sheetView>
  </sheetViews>
  <sheetFormatPr defaultRowHeight="14.25"/>
  <cols>
    <col min="1" max="1" width="7.7109375" bestFit="1" customWidth="1"/>
    <col min="2" max="2" width="46.42578125" customWidth="1"/>
    <col min="3" max="3" width="15.7109375" customWidth="1"/>
    <col min="4" max="5" width="15.7109375" style="175" customWidth="1"/>
    <col min="6" max="6" width="17.5703125" customWidth="1"/>
    <col min="7" max="9" width="17.5703125" hidden="1" customWidth="1"/>
    <col min="10" max="10" width="17.5703125" customWidth="1"/>
    <col min="11" max="12" width="15.7109375" customWidth="1"/>
    <col min="13" max="13" width="10.85546875" bestFit="1" customWidth="1"/>
  </cols>
  <sheetData>
    <row r="1" spans="1:13" ht="15" thickBot="1"/>
    <row r="2" spans="1:13" s="1" customFormat="1" ht="66" customHeight="1" thickBot="1">
      <c r="A2" s="1159" t="s">
        <v>1373</v>
      </c>
      <c r="B2" s="1160"/>
      <c r="C2" s="1160"/>
      <c r="D2" s="1160"/>
      <c r="E2" s="1160"/>
      <c r="F2" s="1160"/>
      <c r="G2" s="1160"/>
      <c r="H2" s="1160"/>
      <c r="I2" s="1160"/>
      <c r="J2" s="1160"/>
      <c r="K2" s="1161"/>
      <c r="L2" s="576"/>
    </row>
    <row r="3" spans="1:13" s="1" customFormat="1" ht="22.5" customHeight="1" thickBot="1">
      <c r="A3" s="2"/>
      <c r="B3" s="3"/>
      <c r="C3" s="56"/>
      <c r="D3" s="153"/>
      <c r="E3" s="153"/>
      <c r="F3" s="56"/>
      <c r="G3" s="56"/>
      <c r="H3" s="56"/>
      <c r="I3" s="56"/>
      <c r="J3" s="56"/>
      <c r="K3" s="59" t="s">
        <v>60</v>
      </c>
      <c r="L3" s="577"/>
    </row>
    <row r="4" spans="1:13" s="1" customFormat="1" ht="31.5" customHeight="1">
      <c r="A4" s="1165" t="s">
        <v>0</v>
      </c>
      <c r="B4" s="1167" t="s">
        <v>1</v>
      </c>
      <c r="C4" s="1162" t="s">
        <v>2</v>
      </c>
      <c r="D4" s="1163"/>
      <c r="E4" s="1163"/>
      <c r="F4" s="1163"/>
      <c r="G4" s="1163"/>
      <c r="H4" s="1163"/>
      <c r="I4" s="1163"/>
      <c r="J4" s="1163"/>
      <c r="K4" s="1164"/>
      <c r="L4" s="578"/>
    </row>
    <row r="5" spans="1:13" s="1" customFormat="1" ht="48" thickBot="1">
      <c r="A5" s="1166"/>
      <c r="B5" s="1168"/>
      <c r="C5" s="555" t="s">
        <v>1370</v>
      </c>
      <c r="D5" s="555" t="s">
        <v>58</v>
      </c>
      <c r="E5" s="555" t="s">
        <v>1296</v>
      </c>
      <c r="F5" s="556" t="s">
        <v>1372</v>
      </c>
      <c r="G5" s="555" t="s">
        <v>1202</v>
      </c>
      <c r="H5" s="555" t="s">
        <v>1428</v>
      </c>
      <c r="I5" s="556" t="s">
        <v>1429</v>
      </c>
      <c r="J5" s="555" t="s">
        <v>1371</v>
      </c>
      <c r="K5" s="557" t="s">
        <v>59</v>
      </c>
      <c r="L5" s="578"/>
    </row>
    <row r="6" spans="1:13" s="1" customFormat="1" ht="15.75">
      <c r="A6" s="552"/>
      <c r="B6" s="553" t="s">
        <v>4</v>
      </c>
      <c r="C6" s="554">
        <v>7487</v>
      </c>
      <c r="D6" s="554">
        <v>7030.5731029999988</v>
      </c>
      <c r="E6" s="554">
        <v>6961</v>
      </c>
      <c r="F6" s="554">
        <f>F59</f>
        <v>21479.236869580003</v>
      </c>
      <c r="G6" s="554">
        <v>5454</v>
      </c>
      <c r="H6" s="554">
        <v>5823</v>
      </c>
      <c r="I6" s="554">
        <v>6430</v>
      </c>
      <c r="J6" s="554">
        <v>17707</v>
      </c>
      <c r="K6" s="554">
        <v>24748</v>
      </c>
      <c r="L6" s="579">
        <f t="shared" ref="L6:L33" si="0">(J6-I6-G6)</f>
        <v>5823</v>
      </c>
      <c r="M6" s="401"/>
    </row>
    <row r="7" spans="1:13" s="1" customFormat="1" ht="15.75">
      <c r="A7" s="9"/>
      <c r="B7" s="6" t="s">
        <v>5</v>
      </c>
      <c r="C7" s="8"/>
      <c r="D7" s="8"/>
      <c r="E7" s="8"/>
      <c r="F7" s="8"/>
      <c r="G7" s="8"/>
      <c r="H7" s="8"/>
      <c r="I7" s="8"/>
      <c r="J7" s="8"/>
      <c r="K7" s="8"/>
      <c r="L7" s="579">
        <f t="shared" si="0"/>
        <v>0</v>
      </c>
    </row>
    <row r="8" spans="1:13" s="1" customFormat="1" ht="15.75">
      <c r="A8" s="9" t="s">
        <v>6</v>
      </c>
      <c r="B8" s="10" t="s">
        <v>3</v>
      </c>
      <c r="C8" s="11"/>
      <c r="D8" s="11"/>
      <c r="E8" s="11"/>
      <c r="F8" s="11"/>
      <c r="G8" s="11"/>
      <c r="H8" s="11"/>
      <c r="I8" s="11"/>
      <c r="J8" s="11"/>
      <c r="K8" s="11"/>
      <c r="L8" s="579">
        <f t="shared" si="0"/>
        <v>0</v>
      </c>
    </row>
    <row r="9" spans="1:13" s="1" customFormat="1" ht="16.5" customHeight="1">
      <c r="A9" s="9">
        <v>1</v>
      </c>
      <c r="B9" s="6" t="s">
        <v>7</v>
      </c>
      <c r="C9" s="11">
        <v>0</v>
      </c>
      <c r="D9" s="11"/>
      <c r="E9" s="11"/>
      <c r="F9" s="11"/>
      <c r="G9" s="11"/>
      <c r="H9" s="11"/>
      <c r="I9" s="11"/>
      <c r="J9" s="11"/>
      <c r="K9" s="11"/>
      <c r="L9" s="579">
        <f t="shared" si="0"/>
        <v>0</v>
      </c>
    </row>
    <row r="10" spans="1:13" s="1" customFormat="1" ht="15.75">
      <c r="A10" s="9">
        <v>2</v>
      </c>
      <c r="B10" s="6" t="s">
        <v>8</v>
      </c>
      <c r="C10" s="11">
        <v>0</v>
      </c>
      <c r="D10" s="11"/>
      <c r="E10" s="11"/>
      <c r="F10" s="11"/>
      <c r="G10" s="11">
        <v>0</v>
      </c>
      <c r="H10" s="11"/>
      <c r="I10" s="11"/>
      <c r="J10" s="11">
        <v>0</v>
      </c>
      <c r="K10" s="11"/>
      <c r="L10" s="579">
        <f t="shared" si="0"/>
        <v>0</v>
      </c>
    </row>
    <row r="11" spans="1:13" s="1" customFormat="1" ht="15.75">
      <c r="A11" s="9">
        <v>3</v>
      </c>
      <c r="B11" s="6" t="s">
        <v>9</v>
      </c>
      <c r="C11" s="236">
        <f>5390.39+85.19</f>
        <v>5475.58</v>
      </c>
      <c r="D11" s="236">
        <v>5240.5632890439992</v>
      </c>
      <c r="E11" s="12">
        <f>+F11-D11-C11</f>
        <v>5288.1801660700003</v>
      </c>
      <c r="F11" s="157">
        <f>+'P&amp;L'!F10</f>
        <v>16004.323455113999</v>
      </c>
      <c r="G11" s="12">
        <v>3678.08</v>
      </c>
      <c r="H11" s="236">
        <v>4004.62</v>
      </c>
      <c r="I11" s="236">
        <v>4566.6400000000003</v>
      </c>
      <c r="J11" s="12">
        <v>12249.34</v>
      </c>
      <c r="K11" s="12">
        <f>(1676405.53+1960.88)/10^2</f>
        <v>16783.664099999998</v>
      </c>
      <c r="L11" s="579">
        <f t="shared" si="0"/>
        <v>4004.62</v>
      </c>
    </row>
    <row r="12" spans="1:13" s="1" customFormat="1" ht="15.75">
      <c r="A12" s="9">
        <v>4</v>
      </c>
      <c r="B12" s="13" t="s">
        <v>10</v>
      </c>
      <c r="C12" s="14">
        <v>4.28</v>
      </c>
      <c r="D12" s="14">
        <v>11.57</v>
      </c>
      <c r="E12" s="12">
        <f t="shared" ref="E12:E15" si="1">+F12-D12-C12</f>
        <v>2.79</v>
      </c>
      <c r="F12" s="157">
        <f>+'P&amp;L'!F11</f>
        <v>18.64</v>
      </c>
      <c r="G12" s="14">
        <v>0</v>
      </c>
      <c r="H12" s="14">
        <v>0</v>
      </c>
      <c r="I12" s="236">
        <f t="shared" ref="I12" si="2">+J12-G12</f>
        <v>0</v>
      </c>
      <c r="J12" s="14">
        <v>0</v>
      </c>
      <c r="K12" s="11">
        <v>0</v>
      </c>
      <c r="L12" s="579">
        <f t="shared" si="0"/>
        <v>0</v>
      </c>
    </row>
    <row r="13" spans="1:13" s="1" customFormat="1" ht="15.75">
      <c r="A13" s="9">
        <v>5</v>
      </c>
      <c r="B13" s="13" t="s">
        <v>11</v>
      </c>
      <c r="C13" s="14">
        <v>12.91</v>
      </c>
      <c r="D13" s="14">
        <v>9.1900000000000013</v>
      </c>
      <c r="E13" s="12">
        <f t="shared" si="1"/>
        <v>16.630000000000003</v>
      </c>
      <c r="F13" s="157">
        <f>+'P&amp;L'!F12</f>
        <v>38.730000000000004</v>
      </c>
      <c r="G13" s="14">
        <v>14.25</v>
      </c>
      <c r="H13" s="14">
        <v>14.280000000000001</v>
      </c>
      <c r="I13" s="236">
        <v>10.96</v>
      </c>
      <c r="J13" s="14">
        <v>39.49</v>
      </c>
      <c r="K13" s="11">
        <f>45.64/10^2</f>
        <v>0.45640000000000003</v>
      </c>
      <c r="L13" s="579">
        <f t="shared" si="0"/>
        <v>14.280000000000001</v>
      </c>
    </row>
    <row r="14" spans="1:13" s="1" customFormat="1" ht="15.75">
      <c r="A14" s="9">
        <v>6</v>
      </c>
      <c r="B14" s="13" t="s">
        <v>12</v>
      </c>
      <c r="C14" s="14">
        <f>175.9-110.9</f>
        <v>65</v>
      </c>
      <c r="D14" s="14">
        <v>33.966733942999952</v>
      </c>
      <c r="E14" s="12">
        <f t="shared" si="1"/>
        <v>2.2101434930000892</v>
      </c>
      <c r="F14" s="157">
        <f>+'P&amp;L'!F13</f>
        <v>101.17687743600004</v>
      </c>
      <c r="G14" s="14">
        <v>51.04</v>
      </c>
      <c r="H14" s="14">
        <v>46.440000000000005</v>
      </c>
      <c r="I14" s="236">
        <v>69.75</v>
      </c>
      <c r="J14" s="14">
        <v>167.23</v>
      </c>
      <c r="K14" s="11">
        <f>28258.18/10^2</f>
        <v>282.58179999999999</v>
      </c>
      <c r="L14" s="579">
        <f t="shared" si="0"/>
        <v>46.439999999999991</v>
      </c>
    </row>
    <row r="15" spans="1:13" s="1" customFormat="1" ht="16.5" thickBot="1">
      <c r="A15" s="541">
        <f>A14+1</f>
        <v>7</v>
      </c>
      <c r="B15" s="542" t="s">
        <v>13</v>
      </c>
      <c r="C15" s="543">
        <f>20.53+(175.87/4)</f>
        <v>64.497500000000002</v>
      </c>
      <c r="D15" s="543">
        <v>73.847701738000012</v>
      </c>
      <c r="E15" s="544">
        <f t="shared" si="1"/>
        <v>65.172867115000003</v>
      </c>
      <c r="F15" s="545">
        <f>+'P&amp;L'!F14</f>
        <v>203.51806885300002</v>
      </c>
      <c r="G15" s="544">
        <v>47.03</v>
      </c>
      <c r="H15" s="543">
        <v>47.03</v>
      </c>
      <c r="I15" s="543">
        <v>50.5</v>
      </c>
      <c r="J15" s="544">
        <v>144.56</v>
      </c>
      <c r="K15" s="544">
        <f>(32993.08/10^2)-K13</f>
        <v>329.47440000000006</v>
      </c>
      <c r="L15" s="579">
        <f t="shared" si="0"/>
        <v>47.03</v>
      </c>
    </row>
    <row r="16" spans="1:13" s="1" customFormat="1" ht="16.5" thickBot="1">
      <c r="A16" s="15"/>
      <c r="B16" s="16" t="s">
        <v>14</v>
      </c>
      <c r="C16" s="237">
        <f t="shared" ref="C16:K16" si="3">SUM(C9:C15)</f>
        <v>5622.2674999999999</v>
      </c>
      <c r="D16" s="237">
        <f t="shared" si="3"/>
        <v>5369.1377247249984</v>
      </c>
      <c r="E16" s="237">
        <f t="shared" si="3"/>
        <v>5374.9831766780007</v>
      </c>
      <c r="F16" s="17">
        <f>SUM(F9:F15)</f>
        <v>16366.388401402999</v>
      </c>
      <c r="G16" s="17">
        <f t="shared" ref="G16:J16" si="4">SUM(G9:G15)</f>
        <v>3790.4</v>
      </c>
      <c r="H16" s="237">
        <v>4112.37</v>
      </c>
      <c r="I16" s="237">
        <f t="shared" ref="I16" si="5">SUM(I9:I15)</f>
        <v>4697.8500000000004</v>
      </c>
      <c r="J16" s="17">
        <f t="shared" si="4"/>
        <v>12600.619999999999</v>
      </c>
      <c r="K16" s="546">
        <f t="shared" si="3"/>
        <v>17396.176699999996</v>
      </c>
      <c r="L16" s="579">
        <f t="shared" si="0"/>
        <v>4112.369999999999</v>
      </c>
      <c r="M16" s="176">
        <v>4697.8500000000004</v>
      </c>
    </row>
    <row r="17" spans="1:18" s="1" customFormat="1" ht="15.75">
      <c r="A17" s="18" t="s">
        <v>6</v>
      </c>
      <c r="B17" s="19" t="s">
        <v>15</v>
      </c>
      <c r="C17" s="20"/>
      <c r="D17" s="161"/>
      <c r="E17" s="161"/>
      <c r="F17" s="20"/>
      <c r="G17" s="20"/>
      <c r="H17" s="20"/>
      <c r="I17" s="161"/>
      <c r="J17" s="20"/>
      <c r="K17" s="20"/>
      <c r="L17" s="579">
        <f t="shared" si="0"/>
        <v>0</v>
      </c>
    </row>
    <row r="18" spans="1:18" s="1" customFormat="1" ht="15.75">
      <c r="A18" s="9">
        <f>A15+1</f>
        <v>8</v>
      </c>
      <c r="B18" s="13" t="s">
        <v>16</v>
      </c>
      <c r="C18" s="11">
        <v>0</v>
      </c>
      <c r="D18" s="11">
        <v>0</v>
      </c>
      <c r="E18" s="156"/>
      <c r="F18" s="11"/>
      <c r="G18" s="11"/>
      <c r="H18" s="11"/>
      <c r="I18" s="156"/>
      <c r="J18" s="11"/>
      <c r="K18" s="11"/>
      <c r="L18" s="579">
        <f t="shared" si="0"/>
        <v>0</v>
      </c>
    </row>
    <row r="19" spans="1:18" s="1" customFormat="1" ht="15.75">
      <c r="A19" s="9">
        <f>A18+1</f>
        <v>9</v>
      </c>
      <c r="B19" s="13" t="s">
        <v>17</v>
      </c>
      <c r="C19" s="11">
        <v>0</v>
      </c>
      <c r="D19" s="11">
        <v>0</v>
      </c>
      <c r="E19" s="156"/>
      <c r="F19" s="11"/>
      <c r="G19" s="11"/>
      <c r="H19" s="11"/>
      <c r="I19" s="156"/>
      <c r="J19" s="11"/>
      <c r="K19" s="11"/>
      <c r="L19" s="579">
        <f t="shared" si="0"/>
        <v>0</v>
      </c>
    </row>
    <row r="20" spans="1:18" s="1" customFormat="1" ht="15.75">
      <c r="A20" s="9">
        <f t="shared" ref="A20:A30" si="6">A19+1</f>
        <v>10</v>
      </c>
      <c r="B20" s="13" t="s">
        <v>18</v>
      </c>
      <c r="C20" s="11">
        <v>0</v>
      </c>
      <c r="D20" s="11">
        <v>0</v>
      </c>
      <c r="E20" s="156"/>
      <c r="F20" s="11"/>
      <c r="G20" s="11"/>
      <c r="H20" s="11"/>
      <c r="I20" s="156"/>
      <c r="J20" s="11"/>
      <c r="K20" s="11"/>
      <c r="L20" s="579">
        <f t="shared" si="0"/>
        <v>0</v>
      </c>
    </row>
    <row r="21" spans="1:18" s="1" customFormat="1" ht="15.75">
      <c r="A21" s="9">
        <f>A20+1</f>
        <v>11</v>
      </c>
      <c r="B21" s="13" t="s">
        <v>19</v>
      </c>
      <c r="C21" s="14">
        <v>6.34</v>
      </c>
      <c r="D21" s="14">
        <v>6.3645603670000011</v>
      </c>
      <c r="E21" s="12">
        <f t="shared" ref="E21:E60" si="7">+F21-D21-C21</f>
        <v>6.9397208329986579</v>
      </c>
      <c r="F21" s="156">
        <f>+'P&amp;L'!F20</f>
        <v>19.644281199998659</v>
      </c>
      <c r="G21" s="11">
        <v>4.6100000000000003</v>
      </c>
      <c r="H21" s="14">
        <v>4.1000000000000005</v>
      </c>
      <c r="I21" s="236">
        <v>2.67</v>
      </c>
      <c r="J21" s="11">
        <v>11.38</v>
      </c>
      <c r="K21" s="11">
        <f>+(1201.83+2107.35+47385.92+387.94)/10^2</f>
        <v>510.8304</v>
      </c>
      <c r="L21" s="579">
        <f t="shared" si="0"/>
        <v>4.1000000000000005</v>
      </c>
      <c r="M21" s="1">
        <v>2.67</v>
      </c>
    </row>
    <row r="22" spans="1:18" s="1" customFormat="1" ht="15.75">
      <c r="A22" s="9">
        <f>A21+1</f>
        <v>12</v>
      </c>
      <c r="B22" s="13" t="s">
        <v>20</v>
      </c>
      <c r="C22" s="14">
        <v>0</v>
      </c>
      <c r="D22" s="14">
        <v>0</v>
      </c>
      <c r="E22" s="12">
        <f t="shared" si="7"/>
        <v>0</v>
      </c>
      <c r="F22" s="156">
        <f>+'P&amp;L'!F21</f>
        <v>0</v>
      </c>
      <c r="G22" s="14"/>
      <c r="H22" s="14">
        <v>0</v>
      </c>
      <c r="I22" s="236">
        <f t="shared" ref="I22:I25" si="8">+J22-G22</f>
        <v>0</v>
      </c>
      <c r="J22" s="14"/>
      <c r="K22" s="11"/>
      <c r="L22" s="579">
        <f t="shared" si="0"/>
        <v>0</v>
      </c>
      <c r="M22" s="1">
        <v>0</v>
      </c>
    </row>
    <row r="23" spans="1:18" s="1" customFormat="1" ht="15.75">
      <c r="A23" s="9">
        <f t="shared" si="6"/>
        <v>13</v>
      </c>
      <c r="B23" s="13" t="s">
        <v>21</v>
      </c>
      <c r="C23" s="14">
        <v>4.9800000000000004</v>
      </c>
      <c r="D23" s="14">
        <v>16.440000000000001</v>
      </c>
      <c r="E23" s="12">
        <f t="shared" si="7"/>
        <v>22.967931999999998</v>
      </c>
      <c r="F23" s="156">
        <f>+'P&amp;L'!F22</f>
        <v>44.387931999999999</v>
      </c>
      <c r="G23" s="11">
        <v>136.69</v>
      </c>
      <c r="H23" s="14">
        <v>34.36</v>
      </c>
      <c r="I23" s="236">
        <v>112.73</v>
      </c>
      <c r="J23" s="11">
        <v>283.77999999999997</v>
      </c>
      <c r="K23" s="11"/>
      <c r="L23" s="579">
        <f t="shared" si="0"/>
        <v>34.359999999999957</v>
      </c>
      <c r="M23" s="1">
        <v>112.73</v>
      </c>
    </row>
    <row r="24" spans="1:18" s="1" customFormat="1" ht="15.75">
      <c r="A24" s="9">
        <f t="shared" si="6"/>
        <v>14</v>
      </c>
      <c r="B24" s="13" t="s">
        <v>22</v>
      </c>
      <c r="C24" s="14">
        <v>5291.76</v>
      </c>
      <c r="D24" s="14">
        <v>5214.5094407126398</v>
      </c>
      <c r="E24" s="12">
        <f t="shared" si="7"/>
        <v>5083.6297285424007</v>
      </c>
      <c r="F24" s="156">
        <f>+'P&amp;L'!F23</f>
        <v>15589.899169255041</v>
      </c>
      <c r="G24" s="11">
        <v>3355.35</v>
      </c>
      <c r="H24" s="14">
        <v>3776.84</v>
      </c>
      <c r="I24" s="236">
        <v>4274.63</v>
      </c>
      <c r="J24" s="11">
        <v>11406.82</v>
      </c>
      <c r="K24" s="11">
        <f>1561047.07/10^2</f>
        <v>15610.4707</v>
      </c>
      <c r="L24" s="579">
        <f t="shared" si="0"/>
        <v>3776.8399999999997</v>
      </c>
      <c r="M24" s="1">
        <v>4274.63</v>
      </c>
    </row>
    <row r="25" spans="1:18" s="1" customFormat="1" ht="15.75">
      <c r="A25" s="9">
        <f t="shared" si="6"/>
        <v>15</v>
      </c>
      <c r="B25" s="13" t="s">
        <v>23</v>
      </c>
      <c r="C25" s="14">
        <v>0</v>
      </c>
      <c r="D25" s="14">
        <v>0</v>
      </c>
      <c r="E25" s="12">
        <f t="shared" si="7"/>
        <v>0</v>
      </c>
      <c r="F25" s="156">
        <f>+'P&amp;L'!F24</f>
        <v>0</v>
      </c>
      <c r="G25" s="14"/>
      <c r="H25" s="14">
        <v>0</v>
      </c>
      <c r="I25" s="236">
        <f t="shared" si="8"/>
        <v>0</v>
      </c>
      <c r="J25" s="14"/>
      <c r="K25" s="11"/>
      <c r="L25" s="579">
        <f t="shared" si="0"/>
        <v>0</v>
      </c>
      <c r="M25" s="1">
        <v>0</v>
      </c>
    </row>
    <row r="26" spans="1:18" s="1" customFormat="1" ht="15.75">
      <c r="A26" s="9">
        <f t="shared" si="6"/>
        <v>16</v>
      </c>
      <c r="B26" s="13" t="s">
        <v>24</v>
      </c>
      <c r="C26" s="14">
        <f>72.62/4</f>
        <v>18.155000000000001</v>
      </c>
      <c r="D26" s="14">
        <v>13.256813472000001</v>
      </c>
      <c r="E26" s="12">
        <f t="shared" si="7"/>
        <v>31.346424028000001</v>
      </c>
      <c r="F26" s="156">
        <f>+'P&amp;L'!F25</f>
        <v>62.7582375</v>
      </c>
      <c r="G26" s="14">
        <v>12.09</v>
      </c>
      <c r="H26" s="14">
        <v>23.91</v>
      </c>
      <c r="I26" s="236">
        <v>18</v>
      </c>
      <c r="J26" s="14">
        <v>54</v>
      </c>
      <c r="K26" s="11">
        <f>6122.64/10^2</f>
        <v>61.226400000000005</v>
      </c>
      <c r="L26" s="579">
        <f t="shared" si="0"/>
        <v>23.91</v>
      </c>
      <c r="M26" s="1">
        <v>18</v>
      </c>
      <c r="N26" s="176">
        <f>+E26+E30-E32+E36</f>
        <v>17.565490355866075</v>
      </c>
      <c r="O26" s="176">
        <f>+F26+F30-F32+F36</f>
        <v>73.797303827866088</v>
      </c>
      <c r="P26" s="176">
        <f>+G26+G30-G32+G36</f>
        <v>10.150000000000004</v>
      </c>
      <c r="Q26" s="176">
        <f>+I26+I30-I32+I36</f>
        <v>39.46</v>
      </c>
      <c r="R26" s="176">
        <f>+J26+J30-J32+J36</f>
        <v>72.41</v>
      </c>
    </row>
    <row r="27" spans="1:18" s="1" customFormat="1" ht="15.75" customHeight="1">
      <c r="A27" s="9">
        <f t="shared" si="6"/>
        <v>17</v>
      </c>
      <c r="B27" s="13" t="s">
        <v>25</v>
      </c>
      <c r="C27" s="14">
        <v>147.11000000000001</v>
      </c>
      <c r="D27" s="14">
        <v>134.92800485199996</v>
      </c>
      <c r="E27" s="12">
        <f t="shared" si="7"/>
        <v>177.34076165925001</v>
      </c>
      <c r="F27" s="156">
        <f>+'P&amp;L'!F26</f>
        <v>459.37876651124998</v>
      </c>
      <c r="G27" s="14">
        <v>137.5</v>
      </c>
      <c r="H27" s="14">
        <v>136.74</v>
      </c>
      <c r="I27" s="236">
        <v>133.05000000000001</v>
      </c>
      <c r="J27" s="14">
        <v>407.29</v>
      </c>
      <c r="K27" s="11">
        <f>56839.52/10^2</f>
        <v>568.39519999999993</v>
      </c>
      <c r="L27" s="579">
        <f t="shared" si="0"/>
        <v>136.74</v>
      </c>
      <c r="M27" s="1">
        <v>133.05000000000001</v>
      </c>
    </row>
    <row r="28" spans="1:18" s="1" customFormat="1" ht="15.75">
      <c r="A28" s="9">
        <f t="shared" si="6"/>
        <v>18</v>
      </c>
      <c r="B28" s="13" t="s">
        <v>26</v>
      </c>
      <c r="C28" s="14">
        <v>27.84</v>
      </c>
      <c r="D28" s="14">
        <v>27.84</v>
      </c>
      <c r="E28" s="12">
        <f t="shared" si="7"/>
        <v>25.498574999999992</v>
      </c>
      <c r="F28" s="156">
        <f>+'P&amp;L'!F27</f>
        <v>81.178574999999995</v>
      </c>
      <c r="G28" s="11">
        <v>26.27</v>
      </c>
      <c r="H28" s="14">
        <v>26.279999999999998</v>
      </c>
      <c r="I28" s="236">
        <v>26.27</v>
      </c>
      <c r="J28" s="11">
        <v>78.819999999999993</v>
      </c>
      <c r="K28" s="11">
        <f>8826.23/10^2</f>
        <v>88.262299999999996</v>
      </c>
      <c r="L28" s="579">
        <f t="shared" si="0"/>
        <v>26.279999999999998</v>
      </c>
      <c r="M28" s="1">
        <v>26.27</v>
      </c>
    </row>
    <row r="29" spans="1:18" s="1" customFormat="1" ht="15.75">
      <c r="A29" s="9">
        <f>A28+1</f>
        <v>19</v>
      </c>
      <c r="B29" s="13" t="s">
        <v>27</v>
      </c>
      <c r="C29" s="14">
        <v>99.49</v>
      </c>
      <c r="D29" s="14">
        <v>99.49</v>
      </c>
      <c r="E29" s="12">
        <f t="shared" si="7"/>
        <v>99.492355363661673</v>
      </c>
      <c r="F29" s="156">
        <f>+'P&amp;L'!F28</f>
        <v>298.47235536366168</v>
      </c>
      <c r="G29" s="11">
        <v>91.37</v>
      </c>
      <c r="H29" s="14">
        <v>91.37</v>
      </c>
      <c r="I29" s="236">
        <v>91.36</v>
      </c>
      <c r="J29" s="11">
        <v>274.10000000000002</v>
      </c>
      <c r="K29" s="11">
        <f>36579.19/10^2</f>
        <v>365.7919</v>
      </c>
      <c r="L29" s="579">
        <f t="shared" si="0"/>
        <v>91.37</v>
      </c>
      <c r="M29" s="1">
        <v>91.36</v>
      </c>
    </row>
    <row r="30" spans="1:18" s="1" customFormat="1" ht="15.75">
      <c r="A30" s="9">
        <f t="shared" si="6"/>
        <v>20</v>
      </c>
      <c r="B30" s="13" t="s">
        <v>28</v>
      </c>
      <c r="C30" s="14">
        <f>178.86/4</f>
        <v>44.715000000000003</v>
      </c>
      <c r="D30" s="14">
        <v>44.715000000000003</v>
      </c>
      <c r="E30" s="12">
        <f t="shared" si="7"/>
        <v>0.90656632786607361</v>
      </c>
      <c r="F30" s="156">
        <f>+'P&amp;L'!F29</f>
        <v>90.33656632786608</v>
      </c>
      <c r="G30" s="11">
        <v>28.17</v>
      </c>
      <c r="H30" s="14">
        <v>28.17</v>
      </c>
      <c r="I30" s="236">
        <v>28.17</v>
      </c>
      <c r="J30" s="11">
        <v>84.51</v>
      </c>
      <c r="K30" s="11">
        <f>(10664.04+4637.41)/10^2</f>
        <v>153.0145</v>
      </c>
      <c r="L30" s="579">
        <f t="shared" si="0"/>
        <v>28.17</v>
      </c>
      <c r="M30" s="1">
        <v>28.17</v>
      </c>
      <c r="N30" s="176">
        <f>+F30-F32+F36</f>
        <v>11.039066327866081</v>
      </c>
      <c r="O30" s="1">
        <f>178.86-131.8+12.47</f>
        <v>59.53</v>
      </c>
    </row>
    <row r="31" spans="1:18" s="1" customFormat="1" ht="15.75">
      <c r="A31" s="9"/>
      <c r="B31" s="21" t="s">
        <v>29</v>
      </c>
      <c r="C31" s="22">
        <f t="shared" ref="C31:M31" si="9">SUM(C18:C30)</f>
        <v>5640.3899999999994</v>
      </c>
      <c r="D31" s="163">
        <f t="shared" si="9"/>
        <v>5557.5438194036396</v>
      </c>
      <c r="E31" s="163">
        <f t="shared" si="9"/>
        <v>5448.1220637541774</v>
      </c>
      <c r="F31" s="22">
        <f>SUM(F18:F30)</f>
        <v>16646.05588315782</v>
      </c>
      <c r="G31" s="22">
        <f t="shared" ref="G31:J31" si="10">SUM(G18:G30)</f>
        <v>3792.05</v>
      </c>
      <c r="H31" s="22">
        <v>4121.7699999999995</v>
      </c>
      <c r="I31" s="163">
        <f t="shared" ref="I31" si="11">SUM(I18:I30)</f>
        <v>4686.88</v>
      </c>
      <c r="J31" s="22">
        <f t="shared" si="10"/>
        <v>12600.7</v>
      </c>
      <c r="K31" s="22">
        <f t="shared" si="9"/>
        <v>17357.991399999999</v>
      </c>
      <c r="L31" s="579">
        <f t="shared" si="0"/>
        <v>4121.7700000000004</v>
      </c>
      <c r="M31" s="22">
        <f t="shared" si="9"/>
        <v>4686.88</v>
      </c>
      <c r="O31" s="1">
        <f>+O30*0.75</f>
        <v>44.647500000000001</v>
      </c>
    </row>
    <row r="32" spans="1:18" s="1" customFormat="1" ht="15.75">
      <c r="A32" s="9">
        <f>+A30+1</f>
        <v>21</v>
      </c>
      <c r="B32" s="13" t="s">
        <v>1067</v>
      </c>
      <c r="C32" s="11">
        <v>33.04</v>
      </c>
      <c r="D32" s="11">
        <v>32.86</v>
      </c>
      <c r="E32" s="12">
        <f t="shared" si="7"/>
        <v>22.412500000000001</v>
      </c>
      <c r="F32" s="156">
        <f>+'P&amp;L'!F31</f>
        <v>88.3125</v>
      </c>
      <c r="G32" s="22">
        <v>30.23</v>
      </c>
      <c r="H32" s="589">
        <v>30.24</v>
      </c>
      <c r="I32" s="236">
        <v>7.03</v>
      </c>
      <c r="J32" s="22">
        <v>67.5</v>
      </c>
      <c r="K32" s="22">
        <f>(6485.15+1439.68)/10^2</f>
        <v>79.2483</v>
      </c>
      <c r="L32" s="579">
        <f t="shared" si="0"/>
        <v>30.24</v>
      </c>
      <c r="M32" s="1">
        <v>7.03</v>
      </c>
    </row>
    <row r="33" spans="1:15" s="1" customFormat="1" ht="15.75">
      <c r="A33" s="9">
        <f>A32+1</f>
        <v>22</v>
      </c>
      <c r="B33" s="13" t="s">
        <v>1068</v>
      </c>
      <c r="C33" s="11">
        <v>0</v>
      </c>
      <c r="D33" s="236">
        <f t="shared" ref="D33" si="12">+F33-C33</f>
        <v>0</v>
      </c>
      <c r="E33" s="12">
        <f t="shared" si="7"/>
        <v>0</v>
      </c>
      <c r="F33" s="156">
        <f>+'P&amp;L'!F32</f>
        <v>0</v>
      </c>
      <c r="G33" s="22"/>
      <c r="H33" s="589"/>
      <c r="I33" s="236">
        <f t="shared" ref="I33" si="13">+J33-G33</f>
        <v>0</v>
      </c>
      <c r="J33" s="22"/>
      <c r="K33" s="22"/>
      <c r="L33" s="579">
        <f t="shared" si="0"/>
        <v>0</v>
      </c>
    </row>
    <row r="34" spans="1:15" s="1" customFormat="1" ht="15.75">
      <c r="A34" s="9"/>
      <c r="B34" s="21" t="s">
        <v>29</v>
      </c>
      <c r="C34" s="22">
        <f t="shared" ref="C34:M34" si="14">C31-C32-C33</f>
        <v>5607.3499999999995</v>
      </c>
      <c r="D34" s="22">
        <f t="shared" si="14"/>
        <v>5524.68381940364</v>
      </c>
      <c r="E34" s="22">
        <f t="shared" si="14"/>
        <v>5425.709563754177</v>
      </c>
      <c r="F34" s="22">
        <f t="shared" si="14"/>
        <v>16557.74338315782</v>
      </c>
      <c r="G34" s="22">
        <f t="shared" ref="G34:I34" si="15">G31-G32-G33</f>
        <v>3761.82</v>
      </c>
      <c r="H34" s="22">
        <v>4091.5299999999997</v>
      </c>
      <c r="I34" s="22">
        <f t="shared" si="15"/>
        <v>4679.8500000000004</v>
      </c>
      <c r="J34" s="22">
        <f t="shared" si="14"/>
        <v>12533.2</v>
      </c>
      <c r="K34" s="22">
        <f>K31-K32-K33</f>
        <v>17278.7431</v>
      </c>
      <c r="L34" s="22">
        <f>L31-L32-L33</f>
        <v>4091.5300000000007</v>
      </c>
      <c r="M34" s="22">
        <f t="shared" si="14"/>
        <v>4679.8500000000004</v>
      </c>
    </row>
    <row r="35" spans="1:15" s="1" customFormat="1" ht="15.75">
      <c r="A35" s="9">
        <f>+A33+1</f>
        <v>23</v>
      </c>
      <c r="B35" s="13" t="s">
        <v>30</v>
      </c>
      <c r="C35" s="11">
        <v>0</v>
      </c>
      <c r="D35" s="236">
        <f t="shared" ref="D35" si="16">+F35-C35</f>
        <v>0</v>
      </c>
      <c r="E35" s="12">
        <f t="shared" si="7"/>
        <v>0</v>
      </c>
      <c r="F35" s="11"/>
      <c r="G35" s="11"/>
      <c r="H35" s="14"/>
      <c r="I35" s="236">
        <f t="shared" ref="I35" si="17">+J35-G35</f>
        <v>0</v>
      </c>
      <c r="J35" s="11"/>
      <c r="K35" s="11"/>
      <c r="L35" s="579">
        <f>(J35-I35-G35)</f>
        <v>0</v>
      </c>
    </row>
    <row r="36" spans="1:15" s="1" customFormat="1" ht="16.5" thickBot="1">
      <c r="A36" s="9">
        <f>A35+1</f>
        <v>24</v>
      </c>
      <c r="B36" s="13" t="s">
        <v>31</v>
      </c>
      <c r="C36" s="11">
        <v>0</v>
      </c>
      <c r="D36" s="11">
        <v>1.29</v>
      </c>
      <c r="E36" s="12">
        <f t="shared" si="7"/>
        <v>7.7250000000000005</v>
      </c>
      <c r="F36" s="156">
        <f>+'P&amp;L'!F35</f>
        <v>9.0150000000000006</v>
      </c>
      <c r="G36" s="11">
        <v>0.12</v>
      </c>
      <c r="H36" s="14">
        <v>0.96</v>
      </c>
      <c r="I36" s="236">
        <v>0.32</v>
      </c>
      <c r="J36" s="11">
        <v>1.4</v>
      </c>
      <c r="K36" s="11"/>
      <c r="L36" s="579">
        <f>(J36-I36-G36)</f>
        <v>0.95999999999999985</v>
      </c>
      <c r="M36" s="1">
        <v>0.32</v>
      </c>
    </row>
    <row r="37" spans="1:15" s="1" customFormat="1" ht="16.5" thickBot="1">
      <c r="A37" s="15"/>
      <c r="B37" s="23" t="s">
        <v>32</v>
      </c>
      <c r="C37" s="17">
        <f>SUM(C34:C36)</f>
        <v>5607.3499999999995</v>
      </c>
      <c r="D37" s="17">
        <f t="shared" ref="D37:K37" si="18">SUM(D34:D36)</f>
        <v>5525.9738194036399</v>
      </c>
      <c r="E37" s="17">
        <f>SUM(E34:E36)</f>
        <v>5433.4345637541774</v>
      </c>
      <c r="F37" s="17">
        <f>SUM(F34:F36)</f>
        <v>16566.758383157819</v>
      </c>
      <c r="G37" s="17">
        <f t="shared" ref="G37" si="19">SUM(G34:G36)</f>
        <v>3761.94</v>
      </c>
      <c r="H37" s="17">
        <v>4092.49</v>
      </c>
      <c r="I37" s="17">
        <f>SUM(I34:I36)+0.01</f>
        <v>4680.18</v>
      </c>
      <c r="J37" s="17">
        <f t="shared" si="18"/>
        <v>12534.6</v>
      </c>
      <c r="K37" s="17">
        <f t="shared" si="18"/>
        <v>17278.7431</v>
      </c>
      <c r="L37" s="17">
        <f t="shared" ref="L37" si="20">SUM(L34:L36)</f>
        <v>4092.4900000000007</v>
      </c>
      <c r="M37" s="17">
        <f>SUM(M34:M36)</f>
        <v>4680.17</v>
      </c>
      <c r="O37" s="176"/>
    </row>
    <row r="38" spans="1:15" s="1" customFormat="1" ht="16.5" thickBot="1">
      <c r="A38" s="24">
        <f>A36+1</f>
        <v>25</v>
      </c>
      <c r="B38" s="25" t="s">
        <v>33</v>
      </c>
      <c r="C38" s="26">
        <f t="shared" ref="C38:M38" si="21">C16-C37</f>
        <v>14.917500000000473</v>
      </c>
      <c r="D38" s="164">
        <f t="shared" si="21"/>
        <v>-156.83609467864153</v>
      </c>
      <c r="E38" s="26">
        <f t="shared" si="21"/>
        <v>-58.451387076176616</v>
      </c>
      <c r="F38" s="26">
        <f t="shared" si="21"/>
        <v>-200.3699817548204</v>
      </c>
      <c r="G38" s="26">
        <f t="shared" ref="G38" si="22">G16-G37</f>
        <v>28.460000000000036</v>
      </c>
      <c r="H38" s="26">
        <v>19.880000000000109</v>
      </c>
      <c r="I38" s="164">
        <v>17.68</v>
      </c>
      <c r="J38" s="26">
        <f t="shared" si="21"/>
        <v>66.019999999998618</v>
      </c>
      <c r="K38" s="26">
        <f t="shared" si="21"/>
        <v>117.43359999999666</v>
      </c>
      <c r="L38" s="26">
        <f t="shared" ref="L38" si="23">L16-L37</f>
        <v>19.87999999999829</v>
      </c>
      <c r="M38" s="26">
        <f t="shared" si="21"/>
        <v>17.680000000000291</v>
      </c>
    </row>
    <row r="39" spans="1:15" s="1" customFormat="1" ht="15.75">
      <c r="A39" s="27">
        <f>A38+1</f>
        <v>26</v>
      </c>
      <c r="B39" s="28" t="s">
        <v>34</v>
      </c>
      <c r="C39" s="11">
        <v>0</v>
      </c>
      <c r="D39" s="236">
        <f t="shared" ref="D39:D40" si="24">+F39-C39</f>
        <v>0</v>
      </c>
      <c r="E39" s="12">
        <f t="shared" si="7"/>
        <v>0</v>
      </c>
      <c r="F39" s="156">
        <f>+'P&amp;L'!F38</f>
        <v>0</v>
      </c>
      <c r="G39" s="20"/>
      <c r="H39" s="590"/>
      <c r="I39" s="236">
        <f t="shared" ref="I39:I40" si="25">+J39-G39</f>
        <v>0</v>
      </c>
      <c r="J39" s="20"/>
      <c r="K39" s="20"/>
      <c r="L39" s="579">
        <f>(J39-I39-G39)</f>
        <v>0</v>
      </c>
      <c r="N39" s="176"/>
    </row>
    <row r="40" spans="1:15" s="1" customFormat="1" ht="16.5" thickBot="1">
      <c r="A40" s="27"/>
      <c r="B40" s="28" t="s">
        <v>35</v>
      </c>
      <c r="C40" s="547">
        <v>0</v>
      </c>
      <c r="D40" s="543">
        <f t="shared" si="24"/>
        <v>0</v>
      </c>
      <c r="E40" s="544">
        <f t="shared" si="7"/>
        <v>0</v>
      </c>
      <c r="F40" s="548">
        <f>+'P&amp;L'!F39</f>
        <v>0</v>
      </c>
      <c r="G40" s="547"/>
      <c r="H40" s="591"/>
      <c r="I40" s="543">
        <f t="shared" si="25"/>
        <v>0</v>
      </c>
      <c r="J40" s="547"/>
      <c r="K40" s="547"/>
      <c r="L40" s="579">
        <f>(J40-I40-G40)</f>
        <v>0</v>
      </c>
    </row>
    <row r="41" spans="1:15" s="1" customFormat="1" ht="16.5" thickBot="1">
      <c r="A41" s="15">
        <f>A39+1</f>
        <v>27</v>
      </c>
      <c r="B41" s="549" t="s">
        <v>36</v>
      </c>
      <c r="C41" s="17">
        <f t="shared" ref="C41:L41" si="26">C38-C39-C40</f>
        <v>14.917500000000473</v>
      </c>
      <c r="D41" s="160">
        <f t="shared" si="26"/>
        <v>-156.83609467864153</v>
      </c>
      <c r="E41" s="17">
        <f t="shared" ref="E41:J41" si="27">E38-E39-E40</f>
        <v>-58.451387076176616</v>
      </c>
      <c r="F41" s="17">
        <f t="shared" si="27"/>
        <v>-200.3699817548204</v>
      </c>
      <c r="G41" s="17">
        <f t="shared" ref="G41:I41" si="28">G38-G39-G40</f>
        <v>28.460000000000036</v>
      </c>
      <c r="H41" s="17">
        <v>19.880000000000109</v>
      </c>
      <c r="I41" s="160">
        <f t="shared" si="28"/>
        <v>17.68</v>
      </c>
      <c r="J41" s="17">
        <f t="shared" si="27"/>
        <v>66.019999999998618</v>
      </c>
      <c r="K41" s="546">
        <f t="shared" si="26"/>
        <v>117.43359999999666</v>
      </c>
      <c r="L41" s="546">
        <f t="shared" si="26"/>
        <v>19.87999999999829</v>
      </c>
    </row>
    <row r="42" spans="1:15" s="1" customFormat="1" ht="16.5" thickBot="1">
      <c r="A42" s="35">
        <f>A41+1</f>
        <v>28</v>
      </c>
      <c r="B42" s="550" t="s">
        <v>37</v>
      </c>
      <c r="C42" s="551"/>
      <c r="D42" s="548">
        <f>+'P&amp;L'!E41</f>
        <v>-2.8</v>
      </c>
      <c r="E42" s="544">
        <f t="shared" si="7"/>
        <v>0</v>
      </c>
      <c r="F42" s="548">
        <f>+'P&amp;L'!F41</f>
        <v>-2.8</v>
      </c>
      <c r="G42" s="551"/>
      <c r="H42" s="592"/>
      <c r="I42" s="548">
        <f>+'P&amp;L'!H41</f>
        <v>0</v>
      </c>
      <c r="J42" s="551"/>
      <c r="K42" s="551">
        <v>-5.09</v>
      </c>
      <c r="L42" s="579">
        <f>(J42-I42-G42)</f>
        <v>0</v>
      </c>
    </row>
    <row r="43" spans="1:15" s="1" customFormat="1" ht="16.5" thickBot="1">
      <c r="A43" s="15">
        <f>A42+1</f>
        <v>29</v>
      </c>
      <c r="B43" s="549" t="s">
        <v>38</v>
      </c>
      <c r="C43" s="17">
        <f t="shared" ref="C43:L43" si="29">C41+C42</f>
        <v>14.917500000000473</v>
      </c>
      <c r="D43" s="160">
        <f t="shared" si="29"/>
        <v>-159.63609467864154</v>
      </c>
      <c r="E43" s="17">
        <f t="shared" ref="E43:J43" si="30">E41+E42</f>
        <v>-58.451387076176616</v>
      </c>
      <c r="F43" s="17">
        <f t="shared" si="30"/>
        <v>-203.16998175482041</v>
      </c>
      <c r="G43" s="17">
        <f t="shared" ref="G43:I43" si="31">G41+G42</f>
        <v>28.460000000000036</v>
      </c>
      <c r="H43" s="17">
        <v>19.880000000000109</v>
      </c>
      <c r="I43" s="160">
        <f t="shared" si="31"/>
        <v>17.68</v>
      </c>
      <c r="J43" s="17">
        <f t="shared" si="30"/>
        <v>66.019999999998618</v>
      </c>
      <c r="K43" s="546">
        <f t="shared" si="29"/>
        <v>112.34359999999666</v>
      </c>
      <c r="L43" s="546">
        <f t="shared" si="29"/>
        <v>19.87999999999829</v>
      </c>
    </row>
    <row r="44" spans="1:15" s="1" customFormat="1" ht="15">
      <c r="A44" s="35"/>
      <c r="B44" s="36" t="s">
        <v>39</v>
      </c>
      <c r="C44" s="37">
        <f>C58</f>
        <v>8050.95</v>
      </c>
      <c r="D44" s="167">
        <v>7262.7034339999991</v>
      </c>
      <c r="E44" s="12">
        <f t="shared" si="7"/>
        <v>7247.1530479999974</v>
      </c>
      <c r="F44" s="37">
        <f t="shared" ref="F44" si="32">F58</f>
        <v>22560.806481999996</v>
      </c>
      <c r="G44" s="37">
        <v>5951</v>
      </c>
      <c r="H44" s="37">
        <v>6500</v>
      </c>
      <c r="I44" s="167">
        <v>6965</v>
      </c>
      <c r="J44" s="37">
        <v>19416</v>
      </c>
      <c r="K44" s="37">
        <f t="shared" ref="K44:L44" si="33">K58</f>
        <v>26782</v>
      </c>
      <c r="L44" s="37">
        <f t="shared" si="33"/>
        <v>6500</v>
      </c>
    </row>
    <row r="45" spans="1:15" s="1" customFormat="1" ht="15">
      <c r="A45" s="27"/>
      <c r="B45" s="38" t="s">
        <v>40</v>
      </c>
      <c r="C45" s="39">
        <v>7487</v>
      </c>
      <c r="D45" s="168">
        <v>7030.5731029999988</v>
      </c>
      <c r="E45" s="12">
        <f t="shared" si="7"/>
        <v>6961.6637665800044</v>
      </c>
      <c r="F45" s="39">
        <f t="shared" ref="F45" si="34">F61</f>
        <v>21479.236869580003</v>
      </c>
      <c r="G45" s="39">
        <v>5454</v>
      </c>
      <c r="H45" s="39">
        <v>5823</v>
      </c>
      <c r="I45" s="168">
        <v>6430</v>
      </c>
      <c r="J45" s="39">
        <v>17707</v>
      </c>
      <c r="K45" s="39">
        <f t="shared" ref="K45:L45" si="35">K61</f>
        <v>24748</v>
      </c>
      <c r="L45" s="39">
        <f t="shared" si="35"/>
        <v>5823</v>
      </c>
    </row>
    <row r="46" spans="1:15" s="1" customFormat="1" ht="15">
      <c r="A46" s="27"/>
      <c r="B46" s="38" t="s">
        <v>41</v>
      </c>
      <c r="C46" s="39">
        <f t="shared" ref="C46" si="36">C44-C45</f>
        <v>563.94999999999982</v>
      </c>
      <c r="D46" s="168">
        <v>232.1303310000003</v>
      </c>
      <c r="E46" s="12">
        <f t="shared" si="7"/>
        <v>285.48928141999295</v>
      </c>
      <c r="F46" s="39">
        <f>F44-F45</f>
        <v>1081.5696124199931</v>
      </c>
      <c r="G46" s="39">
        <f t="shared" ref="G46" si="37">G44-G45</f>
        <v>497</v>
      </c>
      <c r="H46" s="39">
        <v>677</v>
      </c>
      <c r="I46" s="168">
        <v>536</v>
      </c>
      <c r="J46" s="39">
        <v>1710</v>
      </c>
      <c r="K46" s="39">
        <f>K44-K45</f>
        <v>2034</v>
      </c>
      <c r="L46" s="39">
        <f>L44-L45</f>
        <v>677</v>
      </c>
    </row>
    <row r="47" spans="1:15" s="1" customFormat="1" ht="15.75">
      <c r="A47" s="27"/>
      <c r="B47" s="38" t="s">
        <v>42</v>
      </c>
      <c r="C47" s="41">
        <f t="shared" ref="C47" si="38">C46/C44%</f>
        <v>7.0047634130133689</v>
      </c>
      <c r="D47" s="169">
        <v>3.1961972991116947</v>
      </c>
      <c r="E47" s="41">
        <f t="shared" ref="E47:F47" si="39">E46/E44%</f>
        <v>3.9393301000974401</v>
      </c>
      <c r="F47" s="41">
        <f t="shared" si="39"/>
        <v>4.7940201662689539</v>
      </c>
      <c r="G47" s="41">
        <f t="shared" ref="G47" si="40">G46/G44%</f>
        <v>8.3515375567131578</v>
      </c>
      <c r="H47" s="41">
        <v>10.415384615384616</v>
      </c>
      <c r="I47" s="169">
        <v>7.69</v>
      </c>
      <c r="J47" s="41">
        <v>8.81</v>
      </c>
      <c r="K47" s="41">
        <f t="shared" ref="K47:L47" si="41">K46/K44%</f>
        <v>7.594653125233366</v>
      </c>
      <c r="L47" s="41">
        <f t="shared" si="41"/>
        <v>10.415384615384616</v>
      </c>
    </row>
    <row r="48" spans="1:15" s="1" customFormat="1" ht="30.75">
      <c r="A48" s="27"/>
      <c r="B48" s="38" t="s">
        <v>43</v>
      </c>
      <c r="C48" s="41">
        <f t="shared" ref="C48" si="42">+C11/C45*10</f>
        <v>7.3134499799652728</v>
      </c>
      <c r="D48" s="41">
        <v>7.45</v>
      </c>
      <c r="E48" s="41">
        <f t="shared" ref="E48" si="43">+E11/E45*10</f>
        <v>7.5961441738342934</v>
      </c>
      <c r="F48" s="41">
        <f t="shared" ref="F48:K48" si="44">+F11/F45*10</f>
        <v>7.4510670710932665</v>
      </c>
      <c r="G48" s="41">
        <f t="shared" si="44"/>
        <v>6.7438210487715438</v>
      </c>
      <c r="H48" s="41">
        <v>6.8772454061480337</v>
      </c>
      <c r="I48" s="41">
        <f t="shared" si="44"/>
        <v>7.102083981337481</v>
      </c>
      <c r="J48" s="41">
        <f t="shared" si="44"/>
        <v>6.9177952222284977</v>
      </c>
      <c r="K48" s="41">
        <f t="shared" si="44"/>
        <v>6.7818264506222716</v>
      </c>
      <c r="L48" s="41">
        <f t="shared" ref="L48" si="45">+L11/L45*10</f>
        <v>6.8772454061480337</v>
      </c>
    </row>
    <row r="49" spans="1:12" s="1" customFormat="1" ht="30.75">
      <c r="A49" s="27"/>
      <c r="B49" s="38" t="s">
        <v>44</v>
      </c>
      <c r="C49" s="41">
        <f t="shared" ref="C49" si="46">C16/C45*10</f>
        <v>7.509372913049285</v>
      </c>
      <c r="D49" s="169">
        <v>7.64</v>
      </c>
      <c r="E49" s="41">
        <f t="shared" ref="E49" si="47">E16/E45*10</f>
        <v>7.7208313370160386</v>
      </c>
      <c r="F49" s="41">
        <f t="shared" ref="F49:K49" si="48">F16/F45*10</f>
        <v>7.6196321595493544</v>
      </c>
      <c r="G49" s="41">
        <f t="shared" ref="G49:I49" si="49">G16/G45*10</f>
        <v>6.9497616428309499</v>
      </c>
      <c r="H49" s="41">
        <v>7.0622874806800615</v>
      </c>
      <c r="I49" s="169">
        <f t="shared" si="49"/>
        <v>7.3061430793157083</v>
      </c>
      <c r="J49" s="41">
        <f t="shared" si="48"/>
        <v>7.116180041791381</v>
      </c>
      <c r="K49" s="41">
        <f t="shared" si="48"/>
        <v>7.0293262889930483</v>
      </c>
      <c r="L49" s="41">
        <f t="shared" ref="L49" si="50">L16/L45*10</f>
        <v>7.0622874806800606</v>
      </c>
    </row>
    <row r="50" spans="1:12" s="1" customFormat="1" ht="16.5" thickBot="1">
      <c r="A50" s="27"/>
      <c r="B50" s="42" t="s">
        <v>45</v>
      </c>
      <c r="C50" s="43">
        <f>(C37+C39+C40)/C45*10</f>
        <v>7.4894483771871236</v>
      </c>
      <c r="D50" s="170">
        <v>7.86</v>
      </c>
      <c r="E50" s="43">
        <f t="shared" ref="E50" si="51">(E37+E39+E40)/E45*10</f>
        <v>7.8047931441874461</v>
      </c>
      <c r="F50" s="43">
        <f t="shared" ref="F50:J50" si="52">(F37+F39+F40)/F45*10</f>
        <v>7.7129175881572003</v>
      </c>
      <c r="G50" s="43">
        <f t="shared" ref="G50" si="53">(G37+G39+G40)/G45*10</f>
        <v>6.897579757975798</v>
      </c>
      <c r="H50" s="43">
        <v>7.0281470032629221</v>
      </c>
      <c r="I50" s="170">
        <f>(I37+I39+I40)/I45*10</f>
        <v>7.2786625194401244</v>
      </c>
      <c r="J50" s="43">
        <f t="shared" si="52"/>
        <v>7.0788953521206297</v>
      </c>
      <c r="K50" s="43">
        <f t="shared" ref="K50:L50" si="54">(K37+K39+K40)/K45*10</f>
        <v>6.9818745353159848</v>
      </c>
      <c r="L50" s="43">
        <f t="shared" si="54"/>
        <v>7.0281470032629247</v>
      </c>
    </row>
    <row r="51" spans="1:12" s="1" customFormat="1" ht="16.5" thickBot="1">
      <c r="A51" s="24"/>
      <c r="B51" s="44" t="s">
        <v>46</v>
      </c>
      <c r="C51" s="17">
        <f t="shared" ref="C51" si="55">C49-C50</f>
        <v>1.9924535862161363E-2</v>
      </c>
      <c r="D51" s="160">
        <v>-0.22000000000000064</v>
      </c>
      <c r="E51" s="17">
        <f t="shared" ref="E51" si="56">E49-E50</f>
        <v>-8.3961807171407443E-2</v>
      </c>
      <c r="F51" s="17">
        <f t="shared" ref="F51:J51" si="57">F49-F50</f>
        <v>-9.3285428607845944E-2</v>
      </c>
      <c r="G51" s="17">
        <f t="shared" ref="G51" si="58">G49-G50</f>
        <v>5.218188485515185E-2</v>
      </c>
      <c r="H51" s="17">
        <v>3.4140477417139437E-2</v>
      </c>
      <c r="I51" s="160">
        <f>I49-I50</f>
        <v>2.7480559875583843E-2</v>
      </c>
      <c r="J51" s="17">
        <f t="shared" si="57"/>
        <v>3.728468967075127E-2</v>
      </c>
      <c r="K51" s="17">
        <f t="shared" ref="K51:L51" si="59">K49-K50</f>
        <v>4.7451753677063557E-2</v>
      </c>
      <c r="L51" s="17">
        <f t="shared" si="59"/>
        <v>3.4140477417135884E-2</v>
      </c>
    </row>
    <row r="52" spans="1:12" s="1" customFormat="1" ht="15" customHeight="1">
      <c r="A52" s="45"/>
      <c r="B52" s="46" t="s">
        <v>47</v>
      </c>
      <c r="C52" s="33">
        <v>20.45</v>
      </c>
      <c r="D52" s="171">
        <v>21</v>
      </c>
      <c r="E52" s="12">
        <f t="shared" si="7"/>
        <v>22.74</v>
      </c>
      <c r="F52" s="171">
        <f>+'P&amp;L'!F51</f>
        <v>64.19</v>
      </c>
      <c r="G52" s="47">
        <v>13</v>
      </c>
      <c r="H52" s="47">
        <v>13</v>
      </c>
      <c r="I52" s="171">
        <v>12</v>
      </c>
      <c r="J52" s="47">
        <v>38</v>
      </c>
      <c r="K52" s="47">
        <v>113</v>
      </c>
      <c r="L52" s="579">
        <f t="shared" ref="L52:L61" si="60">(J52-I52-G52)</f>
        <v>13</v>
      </c>
    </row>
    <row r="53" spans="1:12" s="1" customFormat="1" ht="30">
      <c r="A53" s="48"/>
      <c r="B53" s="49" t="s">
        <v>48</v>
      </c>
      <c r="C53" s="39">
        <f>7640.9</f>
        <v>7640.9</v>
      </c>
      <c r="D53" s="39">
        <v>7659.8034339999995</v>
      </c>
      <c r="E53" s="12">
        <f t="shared" si="7"/>
        <v>7243.3918880000019</v>
      </c>
      <c r="F53" s="168">
        <f>+'P&amp;L'!F52</f>
        <v>22544.095322000001</v>
      </c>
      <c r="G53" s="39">
        <v>5552</v>
      </c>
      <c r="H53" s="39">
        <v>6379</v>
      </c>
      <c r="I53" s="39">
        <v>6751</v>
      </c>
      <c r="J53" s="39">
        <v>18682</v>
      </c>
      <c r="K53" s="39">
        <v>25539</v>
      </c>
      <c r="L53" s="579">
        <f t="shared" si="60"/>
        <v>6379</v>
      </c>
    </row>
    <row r="54" spans="1:12" s="1" customFormat="1" ht="15.75">
      <c r="A54" s="48"/>
      <c r="B54" s="49" t="s">
        <v>49</v>
      </c>
      <c r="C54" s="39">
        <v>0</v>
      </c>
      <c r="D54" s="172">
        <v>0</v>
      </c>
      <c r="E54" s="12">
        <f t="shared" si="7"/>
        <v>0</v>
      </c>
      <c r="F54" s="168">
        <f>+'P&amp;L'!F53</f>
        <v>0</v>
      </c>
      <c r="G54" s="39">
        <v>0</v>
      </c>
      <c r="H54" s="39">
        <v>0</v>
      </c>
      <c r="I54" s="172">
        <f t="shared" ref="I54:I60" si="61">+J54-G54</f>
        <v>0</v>
      </c>
      <c r="J54" s="39">
        <v>0</v>
      </c>
      <c r="K54" s="39">
        <v>0</v>
      </c>
      <c r="L54" s="579">
        <f t="shared" si="60"/>
        <v>0</v>
      </c>
    </row>
    <row r="55" spans="1:12" s="1" customFormat="1" ht="15.75">
      <c r="A55" s="48"/>
      <c r="B55" s="49" t="s">
        <v>50</v>
      </c>
      <c r="C55" s="50">
        <v>400</v>
      </c>
      <c r="D55" s="172">
        <v>-379.22</v>
      </c>
      <c r="E55" s="12">
        <f t="shared" si="7"/>
        <v>19.734340999999915</v>
      </c>
      <c r="F55" s="172">
        <f>+'P&amp;L'!F54</f>
        <v>40.514340999999895</v>
      </c>
      <c r="G55" s="50">
        <v>386</v>
      </c>
      <c r="H55" s="50">
        <v>108</v>
      </c>
      <c r="I55" s="172">
        <v>202</v>
      </c>
      <c r="J55" s="50">
        <v>696</v>
      </c>
      <c r="K55" s="50">
        <v>1130</v>
      </c>
      <c r="L55" s="579">
        <f t="shared" si="60"/>
        <v>108</v>
      </c>
    </row>
    <row r="56" spans="1:12" s="1" customFormat="1" ht="15.75">
      <c r="A56" s="48"/>
      <c r="B56" s="49" t="s">
        <v>51</v>
      </c>
      <c r="C56" s="39">
        <v>0</v>
      </c>
      <c r="D56" s="172">
        <v>0</v>
      </c>
      <c r="E56" s="12">
        <f t="shared" si="7"/>
        <v>0</v>
      </c>
      <c r="F56" s="168">
        <f>+'P&amp;L'!F55</f>
        <v>0</v>
      </c>
      <c r="G56" s="39">
        <v>0</v>
      </c>
      <c r="H56" s="39"/>
      <c r="I56" s="172">
        <f t="shared" si="61"/>
        <v>0</v>
      </c>
      <c r="J56" s="39">
        <v>0</v>
      </c>
      <c r="K56" s="39">
        <v>0</v>
      </c>
      <c r="L56" s="579">
        <f t="shared" si="60"/>
        <v>0</v>
      </c>
    </row>
    <row r="57" spans="1:12" s="1" customFormat="1" ht="15.75">
      <c r="A57" s="48"/>
      <c r="B57" s="49" t="s">
        <v>52</v>
      </c>
      <c r="C57" s="50">
        <v>10.4</v>
      </c>
      <c r="D57" s="172">
        <v>39.08</v>
      </c>
      <c r="E57" s="12">
        <f t="shared" si="7"/>
        <v>38.51318100000028</v>
      </c>
      <c r="F57" s="172">
        <f>+'P&amp;L'!F56</f>
        <v>87.993181000000277</v>
      </c>
      <c r="G57" s="50">
        <v>0</v>
      </c>
      <c r="H57" s="50"/>
      <c r="I57" s="172">
        <f t="shared" si="61"/>
        <v>0</v>
      </c>
      <c r="J57" s="50">
        <v>0</v>
      </c>
      <c r="K57" s="50">
        <v>0</v>
      </c>
      <c r="L57" s="579">
        <f t="shared" si="60"/>
        <v>0</v>
      </c>
    </row>
    <row r="58" spans="1:12" s="1" customFormat="1" ht="15.75">
      <c r="A58" s="48"/>
      <c r="B58" s="51" t="s">
        <v>53</v>
      </c>
      <c r="C58" s="40">
        <f>C52+C53+C54+C55-C56-C57</f>
        <v>8050.95</v>
      </c>
      <c r="D58" s="173">
        <v>7262.5034339999993</v>
      </c>
      <c r="E58" s="173">
        <f t="shared" ref="E58" si="62">E52+E53+E54+E55-E56-E57</f>
        <v>7247.3530480000018</v>
      </c>
      <c r="F58" s="173">
        <f t="shared" ref="F58:J58" si="63">F52+F53+F54+F55-F56-F57</f>
        <v>22560.806481999996</v>
      </c>
      <c r="G58" s="40">
        <f t="shared" ref="G58:I58" si="64">G52+G53+G54+G55-G56-G57</f>
        <v>5951</v>
      </c>
      <c r="H58" s="40">
        <v>6500</v>
      </c>
      <c r="I58" s="173">
        <f t="shared" si="64"/>
        <v>6965</v>
      </c>
      <c r="J58" s="40">
        <f t="shared" si="63"/>
        <v>19416</v>
      </c>
      <c r="K58" s="40">
        <f t="shared" ref="K58" si="65">K52+K53+K54+K55-K56-K57</f>
        <v>26782</v>
      </c>
      <c r="L58" s="579">
        <f t="shared" si="60"/>
        <v>6500</v>
      </c>
    </row>
    <row r="59" spans="1:12" s="1" customFormat="1" ht="15.75">
      <c r="A59" s="48"/>
      <c r="B59" s="49" t="s">
        <v>54</v>
      </c>
      <c r="C59" s="52">
        <v>7487</v>
      </c>
      <c r="D59" s="172">
        <v>7031</v>
      </c>
      <c r="E59" s="12">
        <f t="shared" si="7"/>
        <v>6961.2368695800033</v>
      </c>
      <c r="F59" s="174">
        <f>+'P&amp;L'!F58</f>
        <v>21479.236869580003</v>
      </c>
      <c r="G59" s="52">
        <v>5454</v>
      </c>
      <c r="H59" s="52">
        <v>5823</v>
      </c>
      <c r="I59" s="172">
        <v>6430</v>
      </c>
      <c r="J59" s="52">
        <v>17707</v>
      </c>
      <c r="K59" s="52">
        <v>24748</v>
      </c>
      <c r="L59" s="579">
        <f t="shared" si="60"/>
        <v>5823</v>
      </c>
    </row>
    <row r="60" spans="1:12" s="1" customFormat="1" ht="15.75">
      <c r="A60" s="53"/>
      <c r="B60" s="49" t="s">
        <v>55</v>
      </c>
      <c r="C60" s="39"/>
      <c r="D60" s="172"/>
      <c r="E60" s="12">
        <f t="shared" si="7"/>
        <v>0</v>
      </c>
      <c r="F60" s="168">
        <f>+'P&amp;L'!F59</f>
        <v>0</v>
      </c>
      <c r="G60" s="39">
        <v>0</v>
      </c>
      <c r="H60" s="39"/>
      <c r="I60" s="172">
        <f t="shared" si="61"/>
        <v>0</v>
      </c>
      <c r="J60" s="39">
        <v>0</v>
      </c>
      <c r="K60" s="39">
        <v>0</v>
      </c>
      <c r="L60" s="579">
        <f t="shared" si="60"/>
        <v>0</v>
      </c>
    </row>
    <row r="61" spans="1:12" s="1" customFormat="1" ht="15.75">
      <c r="A61" s="53"/>
      <c r="B61" s="51" t="s">
        <v>56</v>
      </c>
      <c r="C61" s="40">
        <f t="shared" ref="C61" si="66">SUM(C59:C60)</f>
        <v>7487</v>
      </c>
      <c r="D61" s="173">
        <v>7031</v>
      </c>
      <c r="E61" s="173">
        <f t="shared" ref="E61:J61" si="67">SUM(E59:E60)</f>
        <v>6961.2368695800033</v>
      </c>
      <c r="F61" s="173">
        <f t="shared" si="67"/>
        <v>21479.236869580003</v>
      </c>
      <c r="G61" s="40">
        <f t="shared" ref="G61:I61" si="68">SUM(G59:G60)</f>
        <v>5454</v>
      </c>
      <c r="H61" s="40">
        <v>5823</v>
      </c>
      <c r="I61" s="173">
        <f t="shared" si="68"/>
        <v>6430</v>
      </c>
      <c r="J61" s="40">
        <f t="shared" si="67"/>
        <v>17707</v>
      </c>
      <c r="K61" s="40">
        <f>SUM(K59:K60)</f>
        <v>24748</v>
      </c>
      <c r="L61" s="579">
        <f t="shared" si="60"/>
        <v>5823</v>
      </c>
    </row>
    <row r="62" spans="1:12" s="1" customFormat="1" ht="15.75">
      <c r="A62" s="53"/>
      <c r="B62" s="49" t="s">
        <v>57</v>
      </c>
      <c r="C62" s="40">
        <f>C58-C61</f>
        <v>563.94999999999982</v>
      </c>
      <c r="D62" s="173">
        <v>231.50343399999929</v>
      </c>
      <c r="E62" s="173">
        <f t="shared" ref="E62:F62" si="69">E58-E61</f>
        <v>286.1161784199985</v>
      </c>
      <c r="F62" s="173">
        <f t="shared" si="69"/>
        <v>1081.5696124199931</v>
      </c>
      <c r="G62" s="40">
        <f t="shared" ref="G62" si="70">G58-G61</f>
        <v>497</v>
      </c>
      <c r="H62" s="40">
        <v>677</v>
      </c>
      <c r="I62" s="173">
        <v>536</v>
      </c>
      <c r="J62" s="40">
        <v>1710</v>
      </c>
      <c r="K62" s="40">
        <f t="shared" ref="K62:L62" si="71">K58-K61</f>
        <v>2034</v>
      </c>
      <c r="L62" s="40">
        <f t="shared" si="71"/>
        <v>677</v>
      </c>
    </row>
    <row r="63" spans="1:12" ht="16.5" thickBot="1">
      <c r="A63" s="54"/>
      <c r="B63" s="55" t="s">
        <v>42</v>
      </c>
      <c r="C63" s="41">
        <f t="shared" ref="C63" si="72">C62/C58%</f>
        <v>7.0047634130133689</v>
      </c>
      <c r="D63" s="169">
        <v>3.2</v>
      </c>
      <c r="E63" s="169">
        <f t="shared" ref="E63:J63" si="73">E62/E58%</f>
        <v>3.947871402497162</v>
      </c>
      <c r="F63" s="169">
        <f t="shared" si="73"/>
        <v>4.7940201662689539</v>
      </c>
      <c r="G63" s="41">
        <f t="shared" ref="G63" si="74">G62/G58%</f>
        <v>8.3515375567131578</v>
      </c>
      <c r="H63" s="41">
        <v>10.415384615384616</v>
      </c>
      <c r="I63" s="169">
        <v>7.69</v>
      </c>
      <c r="J63" s="41">
        <f t="shared" si="73"/>
        <v>8.8071693448702106</v>
      </c>
      <c r="K63" s="41">
        <f t="shared" ref="K63:L63" si="75">K62/K58%</f>
        <v>7.594653125233366</v>
      </c>
      <c r="L63" s="41">
        <f t="shared" si="75"/>
        <v>10.415384615384616</v>
      </c>
    </row>
    <row r="65" spans="1:13" ht="15">
      <c r="B65" s="296" t="s">
        <v>1204</v>
      </c>
      <c r="C65" s="183"/>
      <c r="D65" s="183"/>
      <c r="E65" s="183"/>
      <c r="F65" s="183"/>
      <c r="G65" s="183"/>
      <c r="H65" s="183"/>
      <c r="I65" s="183"/>
      <c r="J65" s="183"/>
      <c r="K65" s="183"/>
      <c r="L65" s="183"/>
    </row>
    <row r="66" spans="1:13" ht="18">
      <c r="A66" s="325">
        <v>1</v>
      </c>
      <c r="B66" s="326" t="s">
        <v>1197</v>
      </c>
      <c r="C66" s="327">
        <f>+C38/C16</f>
        <v>2.6532889087899987E-3</v>
      </c>
      <c r="D66" s="327">
        <f t="shared" ref="D66:K66" si="76">+D38/D16</f>
        <v>-2.9210667097699476E-2</v>
      </c>
      <c r="E66" s="327">
        <f t="shared" ref="E66" si="77">+E38/E16</f>
        <v>-1.087471070231375E-2</v>
      </c>
      <c r="F66" s="327">
        <f t="shared" si="76"/>
        <v>-1.224277322769902E-2</v>
      </c>
      <c r="G66" s="327">
        <f t="shared" si="76"/>
        <v>7.5084423807513815E-3</v>
      </c>
      <c r="H66" s="327">
        <f t="shared" ref="H66" si="78">+H38/H16</f>
        <v>4.8341953666620734E-3</v>
      </c>
      <c r="I66" s="327">
        <f t="shared" si="76"/>
        <v>3.7634236938173843E-3</v>
      </c>
      <c r="J66" s="327">
        <f t="shared" si="76"/>
        <v>5.2394247267196874E-3</v>
      </c>
      <c r="K66" s="327">
        <f t="shared" si="76"/>
        <v>6.7505407668109448E-3</v>
      </c>
      <c r="L66" s="327"/>
      <c r="M66" s="327">
        <f t="shared" ref="M66" si="79">+M38/M16</f>
        <v>3.7634236938174463E-3</v>
      </c>
    </row>
    <row r="67" spans="1:13" ht="18">
      <c r="A67" s="325">
        <v>2</v>
      </c>
      <c r="B67" s="326" t="s">
        <v>1203</v>
      </c>
      <c r="C67" s="327">
        <f>(C21+C23+C24)/C16</f>
        <v>0.94322797696836735</v>
      </c>
      <c r="D67" s="327">
        <f t="shared" ref="D67:K67" si="80">(D21+D23+D24)/D16</f>
        <v>0.97544787815028333</v>
      </c>
      <c r="E67" s="327">
        <f t="shared" ref="E67" si="81">(E21+E23+E24)/E16</f>
        <v>0.95135876956098919</v>
      </c>
      <c r="F67" s="327">
        <f t="shared" si="80"/>
        <v>0.95646828112139359</v>
      </c>
      <c r="G67" s="327">
        <f t="shared" si="80"/>
        <v>0.92250158294639084</v>
      </c>
      <c r="H67" s="327">
        <f t="shared" ref="H67" si="82">(H21+H23+H24)/H16</f>
        <v>0.92776185022262114</v>
      </c>
      <c r="I67" s="327">
        <f t="shared" si="80"/>
        <v>0.93447640942133092</v>
      </c>
      <c r="J67" s="327">
        <f t="shared" si="80"/>
        <v>0.92868287433475505</v>
      </c>
      <c r="K67" s="327">
        <f t="shared" si="80"/>
        <v>0.92671518449223411</v>
      </c>
      <c r="L67" s="327"/>
      <c r="M67" s="327">
        <f t="shared" ref="M67" si="83">(M21+M23+M24)/M16</f>
        <v>0.93447640942133092</v>
      </c>
    </row>
    <row r="68" spans="1:13" ht="18">
      <c r="A68" s="325">
        <v>3</v>
      </c>
      <c r="B68" s="326" t="s">
        <v>1199</v>
      </c>
      <c r="C68" s="327">
        <f>(+C21+C23+C24)/C37</f>
        <v>0.9457372912338271</v>
      </c>
      <c r="D68" s="327">
        <f t="shared" ref="D68:K68" si="84">(+D21+D23+D24)/D37</f>
        <v>0.94776308615317462</v>
      </c>
      <c r="E68" s="327">
        <f t="shared" ref="E68" si="85">(+E21+E23+E24)/E37</f>
        <v>0.94112431490152182</v>
      </c>
      <c r="F68" s="327">
        <f t="shared" si="84"/>
        <v>0.94490008367413725</v>
      </c>
      <c r="G68" s="327">
        <f t="shared" si="84"/>
        <v>0.92948053397980834</v>
      </c>
      <c r="H68" s="327">
        <f t="shared" ref="H68" si="86">(+H21+H23+H24)/H37</f>
        <v>0.93226861886040047</v>
      </c>
      <c r="I68" s="327">
        <f t="shared" si="84"/>
        <v>0.9380045211936292</v>
      </c>
      <c r="J68" s="327">
        <f t="shared" si="84"/>
        <v>0.93357426643052022</v>
      </c>
      <c r="K68" s="327">
        <f t="shared" si="84"/>
        <v>0.93301353036494883</v>
      </c>
      <c r="L68" s="327"/>
      <c r="M68" s="327">
        <f t="shared" ref="M68" si="87">(+M21+M23+M24)/M37</f>
        <v>0.93800652540399165</v>
      </c>
    </row>
    <row r="69" spans="1:13" ht="18">
      <c r="A69" s="325">
        <v>4</v>
      </c>
      <c r="B69" s="326" t="s">
        <v>1200</v>
      </c>
      <c r="C69" s="327">
        <f>+C26/C37</f>
        <v>3.2377147850588964E-3</v>
      </c>
      <c r="D69" s="327">
        <f t="shared" ref="D69:K69" si="88">+D26/D37</f>
        <v>2.3990004124613586E-3</v>
      </c>
      <c r="E69" s="327">
        <f t="shared" ref="E69" si="89">+E26/E37</f>
        <v>5.7691730083782406E-3</v>
      </c>
      <c r="F69" s="327">
        <f t="shared" si="88"/>
        <v>3.7882026192765381E-3</v>
      </c>
      <c r="G69" s="327">
        <f t="shared" si="88"/>
        <v>3.2137673647107609E-3</v>
      </c>
      <c r="H69" s="327">
        <f t="shared" ref="H69" si="90">+H26/H37</f>
        <v>5.8424089002050098E-3</v>
      </c>
      <c r="I69" s="327">
        <f t="shared" si="88"/>
        <v>3.8460059228491209E-3</v>
      </c>
      <c r="J69" s="327">
        <f t="shared" si="88"/>
        <v>4.3080752477143262E-3</v>
      </c>
      <c r="K69" s="327">
        <f t="shared" si="88"/>
        <v>3.5434521854775425E-3</v>
      </c>
      <c r="L69" s="327"/>
      <c r="M69" s="327">
        <f t="shared" ref="M69" si="91">+M26/M37</f>
        <v>3.8460141405119901E-3</v>
      </c>
    </row>
    <row r="70" spans="1:13" ht="18">
      <c r="A70" s="325">
        <v>5</v>
      </c>
      <c r="B70" s="326" t="s">
        <v>1201</v>
      </c>
      <c r="C70" s="327">
        <f>+C27/C37</f>
        <v>2.6235209145139868E-2</v>
      </c>
      <c r="D70" s="327">
        <f t="shared" ref="D70:K70" si="92">+D27/D37</f>
        <v>2.4417054669752546E-2</v>
      </c>
      <c r="E70" s="327">
        <f t="shared" ref="E70" si="93">+E27/E37</f>
        <v>3.2638795881019714E-2</v>
      </c>
      <c r="F70" s="327">
        <f t="shared" si="92"/>
        <v>2.7728947081057567E-2</v>
      </c>
      <c r="G70" s="327">
        <f t="shared" si="92"/>
        <v>3.6550290541582271E-2</v>
      </c>
      <c r="H70" s="327">
        <f t="shared" ref="H70" si="94">+H27/H37</f>
        <v>3.3412421288750861E-2</v>
      </c>
      <c r="I70" s="327">
        <f t="shared" si="92"/>
        <v>2.8428393779726422E-2</v>
      </c>
      <c r="J70" s="327">
        <f t="shared" si="92"/>
        <v>3.2493258660029042E-2</v>
      </c>
      <c r="K70" s="327">
        <f t="shared" si="92"/>
        <v>3.2895633479266204E-2</v>
      </c>
      <c r="L70" s="327"/>
      <c r="M70" s="327">
        <f t="shared" ref="M70" si="95">+M27/M37</f>
        <v>2.8428454521951127E-2</v>
      </c>
    </row>
  </sheetData>
  <mergeCells count="4">
    <mergeCell ref="A2:K2"/>
    <mergeCell ref="C4:K4"/>
    <mergeCell ref="A4:A5"/>
    <mergeCell ref="B4:B5"/>
  </mergeCells>
  <printOptions horizontalCentered="1"/>
  <pageMargins left="0" right="0" top="0.19685039370078741" bottom="0" header="0" footer="0.35433070866141736"/>
  <pageSetup paperSize="9" scale="71" fitToHeight="2" orientation="landscape" r:id="rId1"/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4"/>
  <sheetViews>
    <sheetView view="pageBreakPreview" topLeftCell="A7" zoomScale="60" workbookViewId="0">
      <selection activeCell="F30" sqref="F30"/>
    </sheetView>
  </sheetViews>
  <sheetFormatPr defaultRowHeight="14.25"/>
  <cols>
    <col min="1" max="1" width="7.7109375" bestFit="1" customWidth="1"/>
    <col min="2" max="2" width="7.7109375" customWidth="1"/>
    <col min="3" max="3" width="46.42578125" customWidth="1"/>
    <col min="4" max="4" width="15.7109375" style="175" customWidth="1"/>
    <col min="5" max="6" width="17.5703125" customWidth="1"/>
    <col min="7" max="7" width="18.85546875" hidden="1" customWidth="1"/>
    <col min="8" max="8" width="46.28515625" customWidth="1"/>
    <col min="9" max="9" width="10.85546875" bestFit="1" customWidth="1"/>
  </cols>
  <sheetData>
    <row r="1" spans="1:11" s="1" customFormat="1" ht="20.25" customHeight="1">
      <c r="A1" s="1169" t="s">
        <v>1207</v>
      </c>
      <c r="B1" s="1170"/>
      <c r="C1" s="1170"/>
      <c r="D1" s="1170"/>
      <c r="E1" s="1170"/>
      <c r="F1" s="1170"/>
    </row>
    <row r="2" spans="1:11" s="1" customFormat="1" ht="22.5" customHeight="1" thickBot="1">
      <c r="A2" s="1171"/>
      <c r="B2" s="1172"/>
      <c r="C2" s="1172"/>
      <c r="D2" s="1172"/>
      <c r="E2" s="1172"/>
      <c r="F2" s="1172"/>
    </row>
    <row r="3" spans="1:11" s="1" customFormat="1" ht="31.5">
      <c r="A3" s="57" t="s">
        <v>0</v>
      </c>
      <c r="B3" s="385"/>
      <c r="C3" s="58" t="s">
        <v>1</v>
      </c>
      <c r="D3" s="1163"/>
      <c r="E3" s="1163"/>
      <c r="F3" s="1163"/>
    </row>
    <row r="4" spans="1:11" s="1" customFormat="1" ht="75">
      <c r="A4" s="4"/>
      <c r="B4" s="386" t="s">
        <v>1209</v>
      </c>
      <c r="C4" s="5"/>
      <c r="D4" s="177" t="s">
        <v>1114</v>
      </c>
      <c r="E4" s="177" t="s">
        <v>1066</v>
      </c>
      <c r="F4" s="178" t="s">
        <v>1297</v>
      </c>
      <c r="G4" s="178" t="s">
        <v>1069</v>
      </c>
      <c r="H4" s="1" t="s">
        <v>1112</v>
      </c>
    </row>
    <row r="5" spans="1:11" s="1" customFormat="1" ht="15.75">
      <c r="A5" s="4"/>
      <c r="B5" s="386"/>
      <c r="C5" s="6" t="s">
        <v>4</v>
      </c>
      <c r="D5" s="154">
        <f t="shared" ref="D5:E5" si="0">D58</f>
        <v>21762.196278400002</v>
      </c>
      <c r="E5" s="7">
        <f t="shared" si="0"/>
        <v>-282.95940881999923</v>
      </c>
      <c r="F5" s="179">
        <f>+D5+E5</f>
        <v>21479.236869580003</v>
      </c>
      <c r="G5" s="181">
        <f>26502/2</f>
        <v>13251</v>
      </c>
      <c r="I5" s="1">
        <v>359.8</v>
      </c>
    </row>
    <row r="6" spans="1:11" s="1" customFormat="1" ht="15.75">
      <c r="A6" s="9"/>
      <c r="B6" s="387"/>
      <c r="C6" s="6" t="s">
        <v>5</v>
      </c>
      <c r="D6" s="155"/>
      <c r="E6" s="8"/>
      <c r="F6" s="180"/>
      <c r="G6" s="181"/>
    </row>
    <row r="7" spans="1:11" s="1" customFormat="1" ht="15.75">
      <c r="A7" s="9" t="s">
        <v>6</v>
      </c>
      <c r="B7" s="387"/>
      <c r="C7" s="10" t="s">
        <v>3</v>
      </c>
      <c r="D7" s="156"/>
      <c r="E7" s="11"/>
      <c r="F7" s="11"/>
      <c r="G7" s="181"/>
    </row>
    <row r="8" spans="1:11" s="1" customFormat="1" ht="16.5" customHeight="1">
      <c r="A8" s="9">
        <v>1</v>
      </c>
      <c r="B8" s="387"/>
      <c r="C8" s="6" t="s">
        <v>7</v>
      </c>
      <c r="D8" s="156"/>
      <c r="E8" s="11"/>
      <c r="F8" s="179">
        <f t="shared" ref="F8:F14" si="1">+D8+E8</f>
        <v>0</v>
      </c>
      <c r="G8" s="181"/>
    </row>
    <row r="9" spans="1:11" s="1" customFormat="1" ht="15.75">
      <c r="A9" s="9">
        <v>2</v>
      </c>
      <c r="B9" s="387"/>
      <c r="C9" s="6" t="s">
        <v>8</v>
      </c>
      <c r="D9" s="156"/>
      <c r="E9" s="11"/>
      <c r="F9" s="179">
        <f t="shared" si="1"/>
        <v>0</v>
      </c>
      <c r="G9" s="181"/>
    </row>
    <row r="10" spans="1:11" s="1" customFormat="1" ht="90">
      <c r="A10" s="9">
        <v>3</v>
      </c>
      <c r="B10" s="387">
        <v>612</v>
      </c>
      <c r="C10" s="6" t="s">
        <v>9</v>
      </c>
      <c r="D10" s="157">
        <f>-SUMIFS('TB Dt.01.02.2023'!F:F,'TB Dt.01.02.2023'!A:A,"612")/10^7</f>
        <v>13869.535498339001</v>
      </c>
      <c r="E10" s="381">
        <f>+Sales!AE13-D10</f>
        <v>2134.7879567749987</v>
      </c>
      <c r="F10" s="179">
        <f>+D10+E10</f>
        <v>16004.323455113999</v>
      </c>
      <c r="G10" s="181">
        <f>19685.71/2</f>
        <v>9842.8549999999996</v>
      </c>
      <c r="H10" s="238" t="s">
        <v>1359</v>
      </c>
      <c r="I10" s="176">
        <f>10756.49-40.35</f>
        <v>10716.14</v>
      </c>
    </row>
    <row r="11" spans="1:11" s="1" customFormat="1" ht="15.75">
      <c r="A11" s="9">
        <v>4</v>
      </c>
      <c r="B11" s="387"/>
      <c r="C11" s="13" t="s">
        <v>10</v>
      </c>
      <c r="D11" s="158"/>
      <c r="E11" s="382">
        <v>18.64</v>
      </c>
      <c r="F11" s="179">
        <f>+D11+E11</f>
        <v>18.64</v>
      </c>
      <c r="G11" s="181"/>
      <c r="H11" s="239" t="s">
        <v>1352</v>
      </c>
    </row>
    <row r="12" spans="1:11" s="1" customFormat="1" ht="15.75">
      <c r="A12" s="9">
        <v>5</v>
      </c>
      <c r="B12" s="387"/>
      <c r="C12" s="13" t="s">
        <v>11</v>
      </c>
      <c r="D12" s="158"/>
      <c r="E12" s="383">
        <f>51.64/12*9</f>
        <v>38.730000000000004</v>
      </c>
      <c r="F12" s="179">
        <f t="shared" si="1"/>
        <v>38.730000000000004</v>
      </c>
      <c r="G12" s="181">
        <f>(52.66)/2</f>
        <v>26.33</v>
      </c>
      <c r="H12" s="1" t="s">
        <v>1353</v>
      </c>
    </row>
    <row r="13" spans="1:11" s="1" customFormat="1" ht="75">
      <c r="A13" s="9">
        <v>6</v>
      </c>
      <c r="B13" s="400" t="s">
        <v>1208</v>
      </c>
      <c r="C13" s="13" t="s">
        <v>12</v>
      </c>
      <c r="D13" s="158">
        <f>-(SUM('TB Dt.01.02.2023'!F177:F180))/10^7</f>
        <v>532.57687743600002</v>
      </c>
      <c r="E13" s="383">
        <f>-464.87+33.47</f>
        <v>-431.4</v>
      </c>
      <c r="F13" s="179">
        <f t="shared" si="1"/>
        <v>101.17687743600004</v>
      </c>
      <c r="G13" s="181">
        <f>304.03/2</f>
        <v>152.01499999999999</v>
      </c>
      <c r="H13" s="235" t="s">
        <v>1358</v>
      </c>
      <c r="I13" s="1">
        <f>5035.77/3</f>
        <v>1678.5900000000001</v>
      </c>
      <c r="J13" s="1">
        <f>115.79*(1.5+0.25)</f>
        <v>202.63250000000002</v>
      </c>
      <c r="K13" s="1" t="s">
        <v>1151</v>
      </c>
    </row>
    <row r="14" spans="1:11" s="1" customFormat="1" ht="60.75" thickBot="1">
      <c r="A14" s="9">
        <f>A13+1</f>
        <v>7</v>
      </c>
      <c r="B14" s="400" t="s">
        <v>1288</v>
      </c>
      <c r="C14" s="13" t="s">
        <v>13</v>
      </c>
      <c r="D14" s="159">
        <f>-SUM('TB Dt.01.02.2023'!F47:F48)/10^7-'TB Dt.01.02.2023'!F51/10^7</f>
        <v>71.615568853000013</v>
      </c>
      <c r="E14" s="381">
        <f>(175.87*0.75)</f>
        <v>131.9025</v>
      </c>
      <c r="F14" s="179">
        <f t="shared" si="1"/>
        <v>203.51806885300002</v>
      </c>
      <c r="G14" s="181">
        <f>(61.5+175.87)/2</f>
        <v>118.685</v>
      </c>
      <c r="H14" s="1" t="s">
        <v>1360</v>
      </c>
    </row>
    <row r="15" spans="1:11" s="1" customFormat="1" ht="16.5" thickBot="1">
      <c r="A15" s="15"/>
      <c r="B15" s="388"/>
      <c r="C15" s="16" t="s">
        <v>14</v>
      </c>
      <c r="D15" s="160">
        <f t="shared" ref="D15:F15" si="2">SUM(D8:D14)</f>
        <v>14473.727944628001</v>
      </c>
      <c r="E15" s="17">
        <f t="shared" si="2"/>
        <v>1892.6604567749985</v>
      </c>
      <c r="F15" s="17">
        <f t="shared" si="2"/>
        <v>16366.388401402999</v>
      </c>
      <c r="G15" s="22">
        <f>SUM(G8:G14)</f>
        <v>10139.884999999998</v>
      </c>
      <c r="H15" s="176"/>
    </row>
    <row r="16" spans="1:11" s="1" customFormat="1" ht="15.75">
      <c r="A16" s="18" t="s">
        <v>6</v>
      </c>
      <c r="B16" s="389"/>
      <c r="C16" s="19" t="s">
        <v>15</v>
      </c>
      <c r="D16" s="161"/>
      <c r="E16" s="20"/>
      <c r="F16" s="20"/>
      <c r="G16" s="181"/>
    </row>
    <row r="17" spans="1:9" s="1" customFormat="1" ht="15">
      <c r="A17" s="9">
        <f>A14+1</f>
        <v>8</v>
      </c>
      <c r="B17" s="387"/>
      <c r="C17" s="13" t="s">
        <v>16</v>
      </c>
      <c r="D17" s="156"/>
      <c r="E17" s="11"/>
      <c r="F17" s="12">
        <f>+D17+E17</f>
        <v>0</v>
      </c>
      <c r="G17" s="181"/>
    </row>
    <row r="18" spans="1:9" s="1" customFormat="1" ht="15">
      <c r="A18" s="9">
        <f>A17+1</f>
        <v>9</v>
      </c>
      <c r="B18" s="387"/>
      <c r="C18" s="13" t="s">
        <v>17</v>
      </c>
      <c r="D18" s="156"/>
      <c r="E18" s="11"/>
      <c r="F18" s="12">
        <f t="shared" ref="F18:F34" si="3">+D18+E18</f>
        <v>0</v>
      </c>
      <c r="G18" s="181"/>
    </row>
    <row r="19" spans="1:9" s="1" customFormat="1" ht="15">
      <c r="A19" s="9">
        <f t="shared" ref="A19:A29" si="4">A18+1</f>
        <v>10</v>
      </c>
      <c r="B19" s="387"/>
      <c r="C19" s="13" t="s">
        <v>18</v>
      </c>
      <c r="D19" s="156"/>
      <c r="E19" s="11"/>
      <c r="F19" s="12">
        <f t="shared" si="3"/>
        <v>0</v>
      </c>
      <c r="G19" s="181"/>
    </row>
    <row r="20" spans="1:9" s="1" customFormat="1" ht="45">
      <c r="A20" s="9">
        <f>A19+1</f>
        <v>11</v>
      </c>
      <c r="B20" s="400" t="s">
        <v>1289</v>
      </c>
      <c r="C20" s="13" t="s">
        <v>19</v>
      </c>
      <c r="D20" s="156">
        <f>+(('TB Dt.01.02.2023'!F50)/10^7)-D22-D23</f>
        <v>19.644281199998659</v>
      </c>
      <c r="E20" s="11"/>
      <c r="F20" s="12">
        <f t="shared" si="3"/>
        <v>19.644281199998659</v>
      </c>
      <c r="G20" s="181"/>
    </row>
    <row r="21" spans="1:9" s="1" customFormat="1" ht="15">
      <c r="A21" s="9">
        <f>A20+1</f>
        <v>12</v>
      </c>
      <c r="B21" s="387"/>
      <c r="C21" s="13" t="s">
        <v>20</v>
      </c>
      <c r="D21" s="158"/>
      <c r="E21" s="14"/>
      <c r="F21" s="12">
        <f t="shared" si="3"/>
        <v>0</v>
      </c>
      <c r="G21" s="181"/>
    </row>
    <row r="22" spans="1:9" s="1" customFormat="1" ht="15">
      <c r="A22" s="9">
        <f t="shared" si="4"/>
        <v>13</v>
      </c>
      <c r="B22" s="387">
        <v>70410</v>
      </c>
      <c r="C22" s="13" t="s">
        <v>21</v>
      </c>
      <c r="D22" s="156">
        <f>+'TB Dt.01.02.2023'!F962/10^7</f>
        <v>0.77793199999999996</v>
      </c>
      <c r="E22" s="492">
        <f>44.39-0.78</f>
        <v>43.61</v>
      </c>
      <c r="F22" s="12">
        <f t="shared" si="3"/>
        <v>44.387931999999999</v>
      </c>
      <c r="G22" s="181"/>
      <c r="H22" s="239" t="s">
        <v>1352</v>
      </c>
    </row>
    <row r="23" spans="1:9" s="1" customFormat="1" ht="15">
      <c r="A23" s="9">
        <f t="shared" si="4"/>
        <v>14</v>
      </c>
      <c r="B23" s="387">
        <v>70190</v>
      </c>
      <c r="C23" s="13" t="s">
        <v>22</v>
      </c>
      <c r="D23" s="156">
        <f>+'TB Dt.01.02.2023'!F960/10^7</f>
        <v>10506.2694405</v>
      </c>
      <c r="E23" s="384">
        <f>+'PP 22-23'!D16/10^7</f>
        <v>5083.6297287550397</v>
      </c>
      <c r="F23" s="12">
        <f t="shared" si="3"/>
        <v>15589.899169255041</v>
      </c>
      <c r="G23" s="182">
        <f>18940/2</f>
        <v>9470</v>
      </c>
      <c r="I23" s="1">
        <v>5291.76</v>
      </c>
    </row>
    <row r="24" spans="1:9" s="1" customFormat="1" ht="15">
      <c r="A24" s="9">
        <f t="shared" si="4"/>
        <v>15</v>
      </c>
      <c r="B24" s="387"/>
      <c r="C24" s="13" t="s">
        <v>23</v>
      </c>
      <c r="D24" s="158"/>
      <c r="E24" s="14"/>
      <c r="F24" s="12">
        <f t="shared" si="3"/>
        <v>0</v>
      </c>
      <c r="G24" s="182"/>
    </row>
    <row r="25" spans="1:9" s="1" customFormat="1" ht="15">
      <c r="A25" s="9">
        <f t="shared" si="4"/>
        <v>16</v>
      </c>
      <c r="B25" s="387">
        <v>74</v>
      </c>
      <c r="C25" s="13" t="s">
        <v>24</v>
      </c>
      <c r="D25" s="158">
        <f>+SUM('TB Dt.01.02.2023'!F52)/10^7</f>
        <v>48.664833913000002</v>
      </c>
      <c r="E25" s="329">
        <f>+('Annex-A'!L15*0.75)-D25</f>
        <v>14.093403586999997</v>
      </c>
      <c r="F25" s="12">
        <f t="shared" si="3"/>
        <v>62.7582375</v>
      </c>
      <c r="G25" s="182">
        <f>72.62/2</f>
        <v>36.31</v>
      </c>
      <c r="H25" s="1" t="s">
        <v>1361</v>
      </c>
    </row>
    <row r="26" spans="1:9" s="1" customFormat="1" ht="15.75" customHeight="1">
      <c r="A26" s="9">
        <f t="shared" si="4"/>
        <v>17</v>
      </c>
      <c r="B26" s="387">
        <v>75</v>
      </c>
      <c r="C26" s="13" t="s">
        <v>25</v>
      </c>
      <c r="D26" s="158">
        <f>+SUM('TB Dt.01.02.2023'!F53)/10^7</f>
        <v>427.44186539200001</v>
      </c>
      <c r="E26" s="329">
        <f>+('Annex-A'!L16*0.75)-D26</f>
        <v>31.936901119249967</v>
      </c>
      <c r="F26" s="12">
        <f t="shared" si="3"/>
        <v>459.37876651124998</v>
      </c>
      <c r="G26" s="182">
        <f>588.44/2</f>
        <v>294.22000000000003</v>
      </c>
      <c r="H26" s="1" t="s">
        <v>1361</v>
      </c>
    </row>
    <row r="27" spans="1:9" s="1" customFormat="1" ht="15">
      <c r="A27" s="9">
        <f t="shared" si="4"/>
        <v>18</v>
      </c>
      <c r="B27" s="387">
        <v>78</v>
      </c>
      <c r="C27" s="13" t="s">
        <v>26</v>
      </c>
      <c r="D27" s="162">
        <f>+SUM('TB Dt.01.02.2023'!F56)/10^7</f>
        <v>-11.240596926</v>
      </c>
      <c r="E27" s="329">
        <f>+('Annex-A'!L19*0.75)-D27</f>
        <v>92.41917192599999</v>
      </c>
      <c r="F27" s="12">
        <f t="shared" si="3"/>
        <v>81.178574999999995</v>
      </c>
      <c r="G27" s="182">
        <f>111.35/2</f>
        <v>55.674999999999997</v>
      </c>
      <c r="H27" s="1" t="s">
        <v>1361</v>
      </c>
    </row>
    <row r="28" spans="1:9" s="1" customFormat="1" ht="15">
      <c r="A28" s="9">
        <f>A27+1</f>
        <v>19</v>
      </c>
      <c r="B28" s="387">
        <v>77</v>
      </c>
      <c r="C28" s="13" t="s">
        <v>27</v>
      </c>
      <c r="D28" s="158">
        <f>+SUM('TB Dt.01.02.2023'!F55)/10^7</f>
        <v>289.10270024800002</v>
      </c>
      <c r="E28" s="329">
        <f>+('Annex-A'!L18*0.75)-D28</f>
        <v>9.3696551156616579</v>
      </c>
      <c r="F28" s="12">
        <f t="shared" si="3"/>
        <v>298.47235536366168</v>
      </c>
      <c r="G28" s="182">
        <f>397.96/2</f>
        <v>198.98</v>
      </c>
      <c r="H28" s="1" t="s">
        <v>1361</v>
      </c>
    </row>
    <row r="29" spans="1:9" s="1" customFormat="1" ht="15">
      <c r="A29" s="9">
        <f t="shared" si="4"/>
        <v>20</v>
      </c>
      <c r="B29" s="387">
        <v>76</v>
      </c>
      <c r="C29" s="13" t="s">
        <v>28</v>
      </c>
      <c r="D29" s="156">
        <f>+SUM('TB Dt.01.02.2023'!F54)/10^7</f>
        <v>73.679715346999998</v>
      </c>
      <c r="E29" s="329">
        <f>+('Annex-A'!L17*0.75)-D29</f>
        <v>16.656850980866082</v>
      </c>
      <c r="F29" s="12">
        <f t="shared" si="3"/>
        <v>90.33656632786608</v>
      </c>
      <c r="G29" s="182">
        <f>178.86/2</f>
        <v>89.43</v>
      </c>
      <c r="H29" s="1" t="s">
        <v>1361</v>
      </c>
    </row>
    <row r="30" spans="1:9" s="1" customFormat="1" ht="15.75">
      <c r="A30" s="9"/>
      <c r="B30" s="387"/>
      <c r="C30" s="21" t="s">
        <v>29</v>
      </c>
      <c r="D30" s="163">
        <f t="shared" ref="D30:G30" si="5">SUM(D17:D29)</f>
        <v>11354.340171674001</v>
      </c>
      <c r="E30" s="22">
        <f t="shared" si="5"/>
        <v>5291.7157114838164</v>
      </c>
      <c r="F30" s="22">
        <f t="shared" si="5"/>
        <v>16646.05588315782</v>
      </c>
      <c r="G30" s="22">
        <f t="shared" si="5"/>
        <v>10144.614999999998</v>
      </c>
    </row>
    <row r="31" spans="1:9" s="1" customFormat="1" ht="15">
      <c r="A31" s="9">
        <f>+A29+1</f>
        <v>21</v>
      </c>
      <c r="B31" s="387"/>
      <c r="C31" s="13" t="s">
        <v>1067</v>
      </c>
      <c r="D31" s="163"/>
      <c r="E31" s="11">
        <f>+'Annex-A'!L22*0.75</f>
        <v>88.3125</v>
      </c>
      <c r="F31" s="12">
        <f t="shared" si="3"/>
        <v>88.3125</v>
      </c>
      <c r="G31" s="11">
        <f>131.8/2</f>
        <v>65.900000000000006</v>
      </c>
    </row>
    <row r="32" spans="1:9" s="1" customFormat="1" ht="15.75">
      <c r="A32" s="9">
        <f>A31+1</f>
        <v>22</v>
      </c>
      <c r="B32" s="387"/>
      <c r="C32" s="13" t="s">
        <v>1068</v>
      </c>
      <c r="D32" s="163"/>
      <c r="E32" s="11">
        <v>0</v>
      </c>
      <c r="F32" s="12">
        <f t="shared" si="3"/>
        <v>0</v>
      </c>
      <c r="G32" s="22"/>
    </row>
    <row r="33" spans="1:8" s="1" customFormat="1" ht="15.75">
      <c r="A33" s="9"/>
      <c r="B33" s="387"/>
      <c r="C33" s="21"/>
      <c r="D33" s="163"/>
      <c r="E33" s="22"/>
      <c r="F33" s="22"/>
      <c r="G33" s="22"/>
    </row>
    <row r="34" spans="1:8" s="1" customFormat="1" ht="15">
      <c r="A34" s="9">
        <f>+A32+1</f>
        <v>23</v>
      </c>
      <c r="B34" s="387"/>
      <c r="C34" s="13" t="s">
        <v>30</v>
      </c>
      <c r="D34" s="156">
        <v>0</v>
      </c>
      <c r="E34" s="11">
        <v>0</v>
      </c>
      <c r="F34" s="12">
        <f t="shared" si="3"/>
        <v>0</v>
      </c>
      <c r="G34" s="182"/>
    </row>
    <row r="35" spans="1:8" s="1" customFormat="1" ht="15.75" thickBot="1">
      <c r="A35" s="9">
        <f>A34+1</f>
        <v>24</v>
      </c>
      <c r="B35" s="387">
        <v>79</v>
      </c>
      <c r="C35" s="13" t="s">
        <v>31</v>
      </c>
      <c r="D35" s="158">
        <f>+SUM('TB Dt.01.02.2023'!F57)/10^7</f>
        <v>1.6859706050000001</v>
      </c>
      <c r="E35" s="11">
        <f>(+'Annex-A'!L25*0.75)-D35</f>
        <v>7.3290293950000009</v>
      </c>
      <c r="F35" s="12">
        <f t="shared" ref="F35" si="6">+D35+E35</f>
        <v>9.0150000000000006</v>
      </c>
      <c r="G35" s="182">
        <f>12.47/2</f>
        <v>6.2350000000000003</v>
      </c>
    </row>
    <row r="36" spans="1:8" s="1" customFormat="1" ht="16.5" thickBot="1">
      <c r="A36" s="15"/>
      <c r="B36" s="388"/>
      <c r="C36" s="23" t="s">
        <v>32</v>
      </c>
      <c r="D36" s="160">
        <f>+D30-D31-D32+D34+D35</f>
        <v>11356.026142279001</v>
      </c>
      <c r="E36" s="160">
        <f t="shared" ref="E36:F36" si="7">+E30-E31-E32+E34+E35</f>
        <v>5210.7322408788168</v>
      </c>
      <c r="F36" s="160">
        <f t="shared" si="7"/>
        <v>16566.758383157819</v>
      </c>
      <c r="G36" s="163">
        <f t="shared" ref="G36" si="8">SUM(G30:G35)</f>
        <v>10216.749999999998</v>
      </c>
    </row>
    <row r="37" spans="1:8" s="1" customFormat="1" ht="16.5" thickBot="1">
      <c r="A37" s="24">
        <f>A35+1</f>
        <v>25</v>
      </c>
      <c r="B37" s="390"/>
      <c r="C37" s="25" t="s">
        <v>33</v>
      </c>
      <c r="D37" s="164">
        <f>D15-D36</f>
        <v>3117.701802349</v>
      </c>
      <c r="E37" s="26">
        <f t="shared" ref="E37" si="9">E15-E36</f>
        <v>-3318.0717841038186</v>
      </c>
      <c r="F37" s="26">
        <f>F15-F36</f>
        <v>-200.3699817548204</v>
      </c>
      <c r="G37" s="22"/>
      <c r="H37" s="176"/>
    </row>
    <row r="38" spans="1:8" s="1" customFormat="1" ht="15">
      <c r="A38" s="27">
        <f>A37+1</f>
        <v>26</v>
      </c>
      <c r="B38" s="391"/>
      <c r="C38" s="28" t="s">
        <v>34</v>
      </c>
      <c r="D38" s="161"/>
      <c r="E38" s="20"/>
      <c r="F38" s="20"/>
      <c r="G38" s="181"/>
    </row>
    <row r="39" spans="1:8" s="1" customFormat="1" ht="15">
      <c r="A39" s="27"/>
      <c r="B39" s="391"/>
      <c r="C39" s="28" t="s">
        <v>35</v>
      </c>
      <c r="D39" s="156"/>
      <c r="E39" s="11"/>
      <c r="F39" s="11"/>
      <c r="G39" s="181"/>
    </row>
    <row r="40" spans="1:8" s="1" customFormat="1" ht="16.5" thickBot="1">
      <c r="A40" s="24">
        <f>A38+1</f>
        <v>27</v>
      </c>
      <c r="B40" s="392"/>
      <c r="C40" s="29" t="s">
        <v>36</v>
      </c>
      <c r="D40" s="165">
        <f t="shared" ref="D40:F40" si="10">D37-D38-D39</f>
        <v>3117.701802349</v>
      </c>
      <c r="E40" s="30">
        <f t="shared" si="10"/>
        <v>-3318.0717841038186</v>
      </c>
      <c r="F40" s="30">
        <f t="shared" si="10"/>
        <v>-200.3699817548204</v>
      </c>
      <c r="G40" s="181"/>
    </row>
    <row r="41" spans="1:8" s="1" customFormat="1" ht="15">
      <c r="A41" s="31">
        <f>A40+1</f>
        <v>28</v>
      </c>
      <c r="B41" s="393"/>
      <c r="C41" s="32" t="s">
        <v>37</v>
      </c>
      <c r="D41" s="166"/>
      <c r="E41" s="33">
        <v>-2.8</v>
      </c>
      <c r="F41" s="12">
        <f t="shared" ref="F41" si="11">+D41+E41</f>
        <v>-2.8</v>
      </c>
      <c r="G41" s="181"/>
    </row>
    <row r="42" spans="1:8" s="1" customFormat="1" ht="16.5" thickBot="1">
      <c r="A42" s="34">
        <f>A41+1</f>
        <v>29</v>
      </c>
      <c r="B42" s="394"/>
      <c r="C42" s="29" t="s">
        <v>38</v>
      </c>
      <c r="D42" s="165">
        <f t="shared" ref="D42:F42" si="12">D40+D41</f>
        <v>3117.701802349</v>
      </c>
      <c r="E42" s="30">
        <f t="shared" si="12"/>
        <v>-3320.8717841038188</v>
      </c>
      <c r="F42" s="30">
        <f t="shared" si="12"/>
        <v>-203.16998175482041</v>
      </c>
      <c r="G42" s="181"/>
    </row>
    <row r="43" spans="1:8" s="1" customFormat="1" ht="15">
      <c r="A43" s="35"/>
      <c r="B43" s="395"/>
      <c r="C43" s="36" t="s">
        <v>39</v>
      </c>
      <c r="D43" s="167">
        <f>D57</f>
        <v>41.65</v>
      </c>
      <c r="E43" s="37">
        <f>E57</f>
        <v>22519.156481999999</v>
      </c>
      <c r="F43" s="37">
        <f t="shared" ref="F43" si="13">F57</f>
        <v>22560.806481999996</v>
      </c>
      <c r="G43" s="181"/>
    </row>
    <row r="44" spans="1:8" s="1" customFormat="1" ht="15">
      <c r="A44" s="27"/>
      <c r="B44" s="396"/>
      <c r="C44" s="38" t="s">
        <v>40</v>
      </c>
      <c r="D44" s="168">
        <f>D60</f>
        <v>21762.196278400002</v>
      </c>
      <c r="E44" s="39">
        <f t="shared" ref="E44:F44" si="14">E60</f>
        <v>-282.95940881999923</v>
      </c>
      <c r="F44" s="39">
        <f t="shared" si="14"/>
        <v>21479.236869580003</v>
      </c>
      <c r="G44" s="181"/>
    </row>
    <row r="45" spans="1:8" s="1" customFormat="1" ht="15">
      <c r="A45" s="27"/>
      <c r="B45" s="396"/>
      <c r="C45" s="38" t="s">
        <v>41</v>
      </c>
      <c r="D45" s="168">
        <f>D43-D44</f>
        <v>-21720.546278400001</v>
      </c>
      <c r="E45" s="39">
        <f t="shared" ref="E45:F45" si="15">E43-E44</f>
        <v>22802.115890819998</v>
      </c>
      <c r="F45" s="39">
        <f t="shared" si="15"/>
        <v>1081.5696124199931</v>
      </c>
      <c r="G45" s="181"/>
    </row>
    <row r="46" spans="1:8" s="1" customFormat="1" ht="15">
      <c r="A46" s="27"/>
      <c r="B46" s="396"/>
      <c r="C46" s="38" t="s">
        <v>42</v>
      </c>
      <c r="D46" s="169"/>
      <c r="E46" s="169"/>
      <c r="F46" s="169">
        <f t="shared" ref="F46" si="16">F45/F43%</f>
        <v>4.7940201662689539</v>
      </c>
      <c r="G46" s="181"/>
    </row>
    <row r="47" spans="1:8" s="1" customFormat="1" ht="30.75">
      <c r="A47" s="27"/>
      <c r="B47" s="396"/>
      <c r="C47" s="38" t="s">
        <v>43</v>
      </c>
      <c r="D47" s="169">
        <f t="shared" ref="D47:F47" si="17">(D9+D10+D11)/D44*10</f>
        <v>6.3732241548180335</v>
      </c>
      <c r="E47" s="41">
        <f t="shared" si="17"/>
        <v>-76.103776359840808</v>
      </c>
      <c r="F47" s="41">
        <f t="shared" si="17"/>
        <v>7.459745219257087</v>
      </c>
      <c r="G47" s="181"/>
    </row>
    <row r="48" spans="1:8" s="1" customFormat="1" ht="30.75">
      <c r="A48" s="27"/>
      <c r="B48" s="396"/>
      <c r="C48" s="38" t="s">
        <v>44</v>
      </c>
      <c r="D48" s="169">
        <f t="shared" ref="D48:F48" si="18">D15/D44*10</f>
        <v>6.650858102494853</v>
      </c>
      <c r="E48" s="41">
        <f t="shared" si="18"/>
        <v>-66.888055239717744</v>
      </c>
      <c r="F48" s="41">
        <f t="shared" si="18"/>
        <v>7.6196321595493544</v>
      </c>
      <c r="G48" s="181"/>
    </row>
    <row r="49" spans="1:8" s="1" customFormat="1" ht="16.5" thickBot="1">
      <c r="A49" s="27"/>
      <c r="B49" s="396"/>
      <c r="C49" s="42" t="s">
        <v>45</v>
      </c>
      <c r="D49" s="170">
        <f>(D36+D38+D39)/D44*10</f>
        <v>5.2182353274473439</v>
      </c>
      <c r="E49" s="43">
        <f t="shared" ref="E49:F49" si="19">(E36+E38+E39)/E44*10</f>
        <v>-184.15122729470903</v>
      </c>
      <c r="F49" s="43">
        <f t="shared" si="19"/>
        <v>7.7129175881572003</v>
      </c>
      <c r="G49" s="181"/>
    </row>
    <row r="50" spans="1:8" s="1" customFormat="1" ht="16.5" thickBot="1">
      <c r="A50" s="24"/>
      <c r="B50" s="392"/>
      <c r="C50" s="44" t="s">
        <v>46</v>
      </c>
      <c r="D50" s="160">
        <f>D48-D49</f>
        <v>1.4326227750475091</v>
      </c>
      <c r="E50" s="17">
        <f t="shared" ref="E50:F50" si="20">E48-E49</f>
        <v>117.26317205499129</v>
      </c>
      <c r="F50" s="17">
        <f t="shared" si="20"/>
        <v>-9.3285428607845944E-2</v>
      </c>
      <c r="G50" s="181"/>
    </row>
    <row r="51" spans="1:8" s="1" customFormat="1" ht="15" customHeight="1">
      <c r="A51" s="45"/>
      <c r="B51" s="397"/>
      <c r="C51" s="46" t="s">
        <v>47</v>
      </c>
      <c r="D51" s="232">
        <v>41.65</v>
      </c>
      <c r="E51" s="33">
        <f>+'PP 22-23'!C28+'PP 22-23'!C29-D51</f>
        <v>22.54</v>
      </c>
      <c r="F51" s="33">
        <f>+D51+E51</f>
        <v>64.19</v>
      </c>
      <c r="G51" s="181"/>
    </row>
    <row r="52" spans="1:8" s="1" customFormat="1" ht="30">
      <c r="A52" s="48"/>
      <c r="B52" s="391"/>
      <c r="C52" s="49" t="s">
        <v>48</v>
      </c>
      <c r="D52" s="232"/>
      <c r="E52" s="233">
        <f>+'PP 22-23'!C26</f>
        <v>22544.095322000001</v>
      </c>
      <c r="F52" s="233">
        <f t="shared" ref="F52:F56" si="21">+D52+E52</f>
        <v>22544.095322000001</v>
      </c>
      <c r="G52" s="181">
        <f>29350/2</f>
        <v>14675</v>
      </c>
    </row>
    <row r="53" spans="1:8" s="1" customFormat="1" ht="15">
      <c r="A53" s="48"/>
      <c r="B53" s="391"/>
      <c r="C53" s="49" t="s">
        <v>49</v>
      </c>
      <c r="D53" s="232"/>
      <c r="E53" s="233"/>
      <c r="F53" s="233">
        <f t="shared" si="21"/>
        <v>0</v>
      </c>
      <c r="G53" s="181"/>
    </row>
    <row r="54" spans="1:8" s="1" customFormat="1" ht="15">
      <c r="A54" s="48"/>
      <c r="B54" s="391"/>
      <c r="C54" s="49" t="s">
        <v>50</v>
      </c>
      <c r="D54" s="156"/>
      <c r="E54" s="11">
        <f>+'DSM 4.9.22'!H32</f>
        <v>40.514340999999895</v>
      </c>
      <c r="F54" s="11">
        <f t="shared" si="21"/>
        <v>40.514340999999895</v>
      </c>
      <c r="G54" s="181"/>
    </row>
    <row r="55" spans="1:8" s="1" customFormat="1" ht="15">
      <c r="A55" s="48"/>
      <c r="B55" s="391"/>
      <c r="C55" s="49" t="s">
        <v>51</v>
      </c>
      <c r="D55" s="232"/>
      <c r="E55" s="233"/>
      <c r="F55" s="233">
        <f t="shared" si="21"/>
        <v>0</v>
      </c>
      <c r="G55" s="181"/>
    </row>
    <row r="56" spans="1:8" s="1" customFormat="1" ht="15">
      <c r="A56" s="48"/>
      <c r="B56" s="391"/>
      <c r="C56" s="49" t="s">
        <v>52</v>
      </c>
      <c r="D56" s="156"/>
      <c r="E56" s="11">
        <f>-'DSM 4.9.22'!G32</f>
        <v>87.993181000000277</v>
      </c>
      <c r="F56" s="11">
        <f t="shared" si="21"/>
        <v>87.993181000000277</v>
      </c>
      <c r="G56" s="181"/>
    </row>
    <row r="57" spans="1:8" s="1" customFormat="1" ht="15.75">
      <c r="A57" s="48"/>
      <c r="B57" s="391"/>
      <c r="C57" s="51" t="s">
        <v>53</v>
      </c>
      <c r="D57" s="169">
        <f t="shared" ref="D57:G57" si="22">D51+D52+D53+D54-D55-D56</f>
        <v>41.65</v>
      </c>
      <c r="E57" s="41">
        <f>E51+E52+E53+E54-E55-E56</f>
        <v>22519.156481999999</v>
      </c>
      <c r="F57" s="41">
        <f>F51+F52+F53+F54-F55-F56</f>
        <v>22560.806481999996</v>
      </c>
      <c r="G57" s="41">
        <f t="shared" si="22"/>
        <v>14675</v>
      </c>
    </row>
    <row r="58" spans="1:8" s="1" customFormat="1" ht="15.75">
      <c r="A58" s="48"/>
      <c r="B58" s="391">
        <v>925</v>
      </c>
      <c r="C58" s="49" t="s">
        <v>54</v>
      </c>
      <c r="D58" s="230">
        <f>+'TB Dt.01.02.2023'!F220/10^6</f>
        <v>21762.196278400002</v>
      </c>
      <c r="E58" s="231">
        <f>+F58-D58</f>
        <v>-282.95940881999923</v>
      </c>
      <c r="F58" s="231">
        <f>+Sales!AD13</f>
        <v>21479.236869580003</v>
      </c>
      <c r="G58" s="182">
        <f>26502/2</f>
        <v>13251</v>
      </c>
      <c r="H58" s="1" t="s">
        <v>1139</v>
      </c>
    </row>
    <row r="59" spans="1:8" s="1" customFormat="1" ht="15">
      <c r="A59" s="53"/>
      <c r="B59" s="398"/>
      <c r="C59" s="49" t="s">
        <v>55</v>
      </c>
      <c r="D59" s="232"/>
      <c r="E59" s="233"/>
      <c r="F59" s="233"/>
      <c r="G59" s="182"/>
    </row>
    <row r="60" spans="1:8" s="1" customFormat="1" ht="15.75">
      <c r="A60" s="53"/>
      <c r="B60" s="398"/>
      <c r="C60" s="51" t="s">
        <v>56</v>
      </c>
      <c r="D60" s="169">
        <f t="shared" ref="D60:F60" si="23">SUM(D58:D59)</f>
        <v>21762.196278400002</v>
      </c>
      <c r="E60" s="41">
        <f t="shared" si="23"/>
        <v>-282.95940881999923</v>
      </c>
      <c r="F60" s="41">
        <f t="shared" si="23"/>
        <v>21479.236869580003</v>
      </c>
      <c r="G60" s="41">
        <f t="shared" ref="G60" si="24">SUM(G58:G59)</f>
        <v>13251</v>
      </c>
    </row>
    <row r="61" spans="1:8" s="1" customFormat="1" ht="15.75">
      <c r="A61" s="53"/>
      <c r="B61" s="398"/>
      <c r="C61" s="49" t="s">
        <v>57</v>
      </c>
      <c r="D61" s="169"/>
      <c r="E61" s="41"/>
      <c r="F61" s="41">
        <f t="shared" ref="F61" si="25">F57-F60</f>
        <v>1081.5696124199931</v>
      </c>
      <c r="G61" s="41">
        <f t="shared" ref="G61" si="26">G57-G60</f>
        <v>1424</v>
      </c>
    </row>
    <row r="62" spans="1:8" ht="16.5" thickBot="1">
      <c r="A62" s="54"/>
      <c r="B62" s="399"/>
      <c r="C62" s="55" t="s">
        <v>42</v>
      </c>
      <c r="D62" s="170"/>
      <c r="E62" s="43"/>
      <c r="F62" s="43">
        <f t="shared" ref="F62:G62" si="27">F61/F57%</f>
        <v>4.7940201662689539</v>
      </c>
      <c r="G62" s="41">
        <f t="shared" si="27"/>
        <v>9.7035775127768318</v>
      </c>
    </row>
    <row r="68" spans="3:8">
      <c r="D68" s="175" t="s">
        <v>1071</v>
      </c>
      <c r="E68" t="s">
        <v>1072</v>
      </c>
      <c r="F68" t="s">
        <v>1073</v>
      </c>
      <c r="G68" t="s">
        <v>1074</v>
      </c>
      <c r="H68" t="s">
        <v>1205</v>
      </c>
    </row>
    <row r="69" spans="3:8">
      <c r="C69" t="s">
        <v>1070</v>
      </c>
      <c r="D69" s="175">
        <v>25.27</v>
      </c>
      <c r="E69" s="183">
        <f>(+D69*1.1)/2</f>
        <v>13.8985</v>
      </c>
      <c r="F69">
        <v>0</v>
      </c>
      <c r="G69" s="183">
        <f>+E69-F69</f>
        <v>13.8985</v>
      </c>
      <c r="H69" s="183">
        <f>+E69-F69</f>
        <v>13.8985</v>
      </c>
    </row>
    <row r="70" spans="3:8">
      <c r="C70" t="s">
        <v>1075</v>
      </c>
      <c r="D70" s="175">
        <v>31.66</v>
      </c>
      <c r="E70" s="183">
        <f t="shared" ref="E70:E74" si="28">(+D70*1.1)/2</f>
        <v>17.413</v>
      </c>
      <c r="F70">
        <v>9.0299999999999994</v>
      </c>
      <c r="G70" s="183">
        <f t="shared" ref="G70:G74" si="29">+E70-F70</f>
        <v>8.3830000000000009</v>
      </c>
      <c r="H70" s="183">
        <f t="shared" ref="H70:H74" si="30">+E70-F70</f>
        <v>8.3830000000000009</v>
      </c>
    </row>
    <row r="71" spans="3:8">
      <c r="C71" t="s">
        <v>1076</v>
      </c>
      <c r="D71" s="175">
        <v>12.31</v>
      </c>
      <c r="E71" s="183">
        <f t="shared" si="28"/>
        <v>6.7705000000000011</v>
      </c>
      <c r="F71">
        <v>12.65</v>
      </c>
      <c r="G71" s="183">
        <f t="shared" si="29"/>
        <v>-5.8794999999999993</v>
      </c>
      <c r="H71" s="183">
        <f t="shared" si="30"/>
        <v>-5.8794999999999993</v>
      </c>
    </row>
    <row r="72" spans="3:8">
      <c r="D72" s="175">
        <f>SUM(D69:D71)</f>
        <v>69.239999999999995</v>
      </c>
      <c r="E72" s="328">
        <f t="shared" ref="E72:H72" si="31">SUM(E69:E71)</f>
        <v>38.082000000000001</v>
      </c>
      <c r="F72" s="175">
        <f t="shared" si="31"/>
        <v>21.68</v>
      </c>
      <c r="G72" s="175">
        <f t="shared" si="31"/>
        <v>16.402000000000001</v>
      </c>
      <c r="H72" s="330">
        <f t="shared" si="31"/>
        <v>16.402000000000001</v>
      </c>
    </row>
    <row r="73" spans="3:8">
      <c r="C73" t="s">
        <v>1077</v>
      </c>
      <c r="D73" s="175">
        <v>4.58</v>
      </c>
      <c r="E73" s="183">
        <f t="shared" si="28"/>
        <v>2.5190000000000001</v>
      </c>
      <c r="F73">
        <v>0</v>
      </c>
      <c r="G73" s="183">
        <f t="shared" si="29"/>
        <v>2.5190000000000001</v>
      </c>
      <c r="H73" s="183">
        <f t="shared" si="30"/>
        <v>2.5190000000000001</v>
      </c>
    </row>
    <row r="74" spans="3:8">
      <c r="C74" t="s">
        <v>1078</v>
      </c>
      <c r="D74" s="175">
        <v>-5.09</v>
      </c>
      <c r="E74" s="183">
        <f t="shared" si="28"/>
        <v>-2.7995000000000001</v>
      </c>
      <c r="F74">
        <v>0</v>
      </c>
      <c r="G74" s="183">
        <f t="shared" si="29"/>
        <v>-2.7995000000000001</v>
      </c>
      <c r="H74" s="183">
        <f t="shared" si="30"/>
        <v>-2.7995000000000001</v>
      </c>
    </row>
  </sheetData>
  <mergeCells count="2">
    <mergeCell ref="D3:F3"/>
    <mergeCell ref="A1:F2"/>
  </mergeCells>
  <printOptions horizontalCentered="1"/>
  <pageMargins left="0" right="0" top="0.19685039370078741" bottom="0" header="0" footer="0.35433070866141736"/>
  <pageSetup paperSize="9" scale="88" fitToHeight="2" orientation="landscape" r:id="rId1"/>
  <rowBreaks count="1" manualBreakCount="1">
    <brk id="42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N36"/>
  <sheetViews>
    <sheetView view="pageBreakPreview" topLeftCell="A12" zoomScale="91" zoomScaleSheetLayoutView="91" workbookViewId="0">
      <selection activeCell="F30" sqref="F30"/>
    </sheetView>
  </sheetViews>
  <sheetFormatPr defaultRowHeight="12.75"/>
  <cols>
    <col min="1" max="1" width="9.85546875" style="130" customWidth="1"/>
    <col min="2" max="2" width="19.85546875" style="64" customWidth="1"/>
    <col min="3" max="3" width="13.7109375" style="64" customWidth="1"/>
    <col min="4" max="4" width="29.140625" style="64" customWidth="1"/>
    <col min="5" max="5" width="0.7109375" style="64" customWidth="1"/>
    <col min="6" max="6" width="9.7109375" style="64" customWidth="1"/>
    <col min="7" max="7" width="16" style="64" customWidth="1"/>
    <col min="8" max="8" width="7.5703125" style="64" customWidth="1"/>
    <col min="9" max="9" width="16.5703125" style="64" customWidth="1"/>
    <col min="10" max="10" width="0.7109375" style="64" customWidth="1"/>
    <col min="11" max="11" width="15.5703125" style="64" bestFit="1" customWidth="1"/>
    <col min="12" max="12" width="20.140625" style="64" customWidth="1"/>
    <col min="13" max="13" width="13.28515625" style="64" bestFit="1" customWidth="1"/>
    <col min="14" max="14" width="23.42578125" style="64" customWidth="1"/>
    <col min="15" max="15" width="11" style="64" bestFit="1" customWidth="1"/>
    <col min="16" max="16" width="12" style="64" bestFit="1" customWidth="1"/>
    <col min="17" max="17" width="9.140625" style="64"/>
    <col min="18" max="18" width="13.7109375" style="64" customWidth="1"/>
    <col min="19" max="256" width="9.140625" style="64"/>
    <col min="257" max="257" width="9.85546875" style="64" customWidth="1"/>
    <col min="258" max="258" width="24.5703125" style="64" customWidth="1"/>
    <col min="259" max="259" width="11.28515625" style="64" bestFit="1" customWidth="1"/>
    <col min="260" max="260" width="20.42578125" style="64" customWidth="1"/>
    <col min="261" max="261" width="0.7109375" style="64" customWidth="1"/>
    <col min="262" max="262" width="9.7109375" style="64" customWidth="1"/>
    <col min="263" max="263" width="16" style="64" customWidth="1"/>
    <col min="264" max="264" width="7.5703125" style="64" customWidth="1"/>
    <col min="265" max="265" width="16.5703125" style="64" customWidth="1"/>
    <col min="266" max="266" width="0.7109375" style="64" customWidth="1"/>
    <col min="267" max="267" width="10.140625" style="64" bestFit="1" customWidth="1"/>
    <col min="268" max="268" width="20.140625" style="64" customWidth="1"/>
    <col min="269" max="269" width="8.85546875" style="64" customWidth="1"/>
    <col min="270" max="270" width="20.42578125" style="64" customWidth="1"/>
    <col min="271" max="271" width="11" style="64" bestFit="1" customWidth="1"/>
    <col min="272" max="272" width="12" style="64" bestFit="1" customWidth="1"/>
    <col min="273" max="273" width="9.140625" style="64"/>
    <col min="274" max="274" width="13.7109375" style="64" customWidth="1"/>
    <col min="275" max="512" width="9.140625" style="64"/>
    <col min="513" max="513" width="9.85546875" style="64" customWidth="1"/>
    <col min="514" max="514" width="24.5703125" style="64" customWidth="1"/>
    <col min="515" max="515" width="11.28515625" style="64" bestFit="1" customWidth="1"/>
    <col min="516" max="516" width="20.42578125" style="64" customWidth="1"/>
    <col min="517" max="517" width="0.7109375" style="64" customWidth="1"/>
    <col min="518" max="518" width="9.7109375" style="64" customWidth="1"/>
    <col min="519" max="519" width="16" style="64" customWidth="1"/>
    <col min="520" max="520" width="7.5703125" style="64" customWidth="1"/>
    <col min="521" max="521" width="16.5703125" style="64" customWidth="1"/>
    <col min="522" max="522" width="0.7109375" style="64" customWidth="1"/>
    <col min="523" max="523" width="10.140625" style="64" bestFit="1" customWidth="1"/>
    <col min="524" max="524" width="20.140625" style="64" customWidth="1"/>
    <col min="525" max="525" width="8.85546875" style="64" customWidth="1"/>
    <col min="526" max="526" width="20.42578125" style="64" customWidth="1"/>
    <col min="527" max="527" width="11" style="64" bestFit="1" customWidth="1"/>
    <col min="528" max="528" width="12" style="64" bestFit="1" customWidth="1"/>
    <col min="529" max="529" width="9.140625" style="64"/>
    <col min="530" max="530" width="13.7109375" style="64" customWidth="1"/>
    <col min="531" max="768" width="9.140625" style="64"/>
    <col min="769" max="769" width="9.85546875" style="64" customWidth="1"/>
    <col min="770" max="770" width="24.5703125" style="64" customWidth="1"/>
    <col min="771" max="771" width="11.28515625" style="64" bestFit="1" customWidth="1"/>
    <col min="772" max="772" width="20.42578125" style="64" customWidth="1"/>
    <col min="773" max="773" width="0.7109375" style="64" customWidth="1"/>
    <col min="774" max="774" width="9.7109375" style="64" customWidth="1"/>
    <col min="775" max="775" width="16" style="64" customWidth="1"/>
    <col min="776" max="776" width="7.5703125" style="64" customWidth="1"/>
    <col min="777" max="777" width="16.5703125" style="64" customWidth="1"/>
    <col min="778" max="778" width="0.7109375" style="64" customWidth="1"/>
    <col min="779" max="779" width="10.140625" style="64" bestFit="1" customWidth="1"/>
    <col min="780" max="780" width="20.140625" style="64" customWidth="1"/>
    <col min="781" max="781" width="8.85546875" style="64" customWidth="1"/>
    <col min="782" max="782" width="20.42578125" style="64" customWidth="1"/>
    <col min="783" max="783" width="11" style="64" bestFit="1" customWidth="1"/>
    <col min="784" max="784" width="12" style="64" bestFit="1" customWidth="1"/>
    <col min="785" max="785" width="9.140625" style="64"/>
    <col min="786" max="786" width="13.7109375" style="64" customWidth="1"/>
    <col min="787" max="1024" width="9.140625" style="64"/>
    <col min="1025" max="1025" width="9.85546875" style="64" customWidth="1"/>
    <col min="1026" max="1026" width="24.5703125" style="64" customWidth="1"/>
    <col min="1027" max="1027" width="11.28515625" style="64" bestFit="1" customWidth="1"/>
    <col min="1028" max="1028" width="20.42578125" style="64" customWidth="1"/>
    <col min="1029" max="1029" width="0.7109375" style="64" customWidth="1"/>
    <col min="1030" max="1030" width="9.7109375" style="64" customWidth="1"/>
    <col min="1031" max="1031" width="16" style="64" customWidth="1"/>
    <col min="1032" max="1032" width="7.5703125" style="64" customWidth="1"/>
    <col min="1033" max="1033" width="16.5703125" style="64" customWidth="1"/>
    <col min="1034" max="1034" width="0.7109375" style="64" customWidth="1"/>
    <col min="1035" max="1035" width="10.140625" style="64" bestFit="1" customWidth="1"/>
    <col min="1036" max="1036" width="20.140625" style="64" customWidth="1"/>
    <col min="1037" max="1037" width="8.85546875" style="64" customWidth="1"/>
    <col min="1038" max="1038" width="20.42578125" style="64" customWidth="1"/>
    <col min="1039" max="1039" width="11" style="64" bestFit="1" customWidth="1"/>
    <col min="1040" max="1040" width="12" style="64" bestFit="1" customWidth="1"/>
    <col min="1041" max="1041" width="9.140625" style="64"/>
    <col min="1042" max="1042" width="13.7109375" style="64" customWidth="1"/>
    <col min="1043" max="1280" width="9.140625" style="64"/>
    <col min="1281" max="1281" width="9.85546875" style="64" customWidth="1"/>
    <col min="1282" max="1282" width="24.5703125" style="64" customWidth="1"/>
    <col min="1283" max="1283" width="11.28515625" style="64" bestFit="1" customWidth="1"/>
    <col min="1284" max="1284" width="20.42578125" style="64" customWidth="1"/>
    <col min="1285" max="1285" width="0.7109375" style="64" customWidth="1"/>
    <col min="1286" max="1286" width="9.7109375" style="64" customWidth="1"/>
    <col min="1287" max="1287" width="16" style="64" customWidth="1"/>
    <col min="1288" max="1288" width="7.5703125" style="64" customWidth="1"/>
    <col min="1289" max="1289" width="16.5703125" style="64" customWidth="1"/>
    <col min="1290" max="1290" width="0.7109375" style="64" customWidth="1"/>
    <col min="1291" max="1291" width="10.140625" style="64" bestFit="1" customWidth="1"/>
    <col min="1292" max="1292" width="20.140625" style="64" customWidth="1"/>
    <col min="1293" max="1293" width="8.85546875" style="64" customWidth="1"/>
    <col min="1294" max="1294" width="20.42578125" style="64" customWidth="1"/>
    <col min="1295" max="1295" width="11" style="64" bestFit="1" customWidth="1"/>
    <col min="1296" max="1296" width="12" style="64" bestFit="1" customWidth="1"/>
    <col min="1297" max="1297" width="9.140625" style="64"/>
    <col min="1298" max="1298" width="13.7109375" style="64" customWidth="1"/>
    <col min="1299" max="1536" width="9.140625" style="64"/>
    <col min="1537" max="1537" width="9.85546875" style="64" customWidth="1"/>
    <col min="1538" max="1538" width="24.5703125" style="64" customWidth="1"/>
    <col min="1539" max="1539" width="11.28515625" style="64" bestFit="1" customWidth="1"/>
    <col min="1540" max="1540" width="20.42578125" style="64" customWidth="1"/>
    <col min="1541" max="1541" width="0.7109375" style="64" customWidth="1"/>
    <col min="1542" max="1542" width="9.7109375" style="64" customWidth="1"/>
    <col min="1543" max="1543" width="16" style="64" customWidth="1"/>
    <col min="1544" max="1544" width="7.5703125" style="64" customWidth="1"/>
    <col min="1545" max="1545" width="16.5703125" style="64" customWidth="1"/>
    <col min="1546" max="1546" width="0.7109375" style="64" customWidth="1"/>
    <col min="1547" max="1547" width="10.140625" style="64" bestFit="1" customWidth="1"/>
    <col min="1548" max="1548" width="20.140625" style="64" customWidth="1"/>
    <col min="1549" max="1549" width="8.85546875" style="64" customWidth="1"/>
    <col min="1550" max="1550" width="20.42578125" style="64" customWidth="1"/>
    <col min="1551" max="1551" width="11" style="64" bestFit="1" customWidth="1"/>
    <col min="1552" max="1552" width="12" style="64" bestFit="1" customWidth="1"/>
    <col min="1553" max="1553" width="9.140625" style="64"/>
    <col min="1554" max="1554" width="13.7109375" style="64" customWidth="1"/>
    <col min="1555" max="1792" width="9.140625" style="64"/>
    <col min="1793" max="1793" width="9.85546875" style="64" customWidth="1"/>
    <col min="1794" max="1794" width="24.5703125" style="64" customWidth="1"/>
    <col min="1795" max="1795" width="11.28515625" style="64" bestFit="1" customWidth="1"/>
    <col min="1796" max="1796" width="20.42578125" style="64" customWidth="1"/>
    <col min="1797" max="1797" width="0.7109375" style="64" customWidth="1"/>
    <col min="1798" max="1798" width="9.7109375" style="64" customWidth="1"/>
    <col min="1799" max="1799" width="16" style="64" customWidth="1"/>
    <col min="1800" max="1800" width="7.5703125" style="64" customWidth="1"/>
    <col min="1801" max="1801" width="16.5703125" style="64" customWidth="1"/>
    <col min="1802" max="1802" width="0.7109375" style="64" customWidth="1"/>
    <col min="1803" max="1803" width="10.140625" style="64" bestFit="1" customWidth="1"/>
    <col min="1804" max="1804" width="20.140625" style="64" customWidth="1"/>
    <col min="1805" max="1805" width="8.85546875" style="64" customWidth="1"/>
    <col min="1806" max="1806" width="20.42578125" style="64" customWidth="1"/>
    <col min="1807" max="1807" width="11" style="64" bestFit="1" customWidth="1"/>
    <col min="1808" max="1808" width="12" style="64" bestFit="1" customWidth="1"/>
    <col min="1809" max="1809" width="9.140625" style="64"/>
    <col min="1810" max="1810" width="13.7109375" style="64" customWidth="1"/>
    <col min="1811" max="2048" width="9.140625" style="64"/>
    <col min="2049" max="2049" width="9.85546875" style="64" customWidth="1"/>
    <col min="2050" max="2050" width="24.5703125" style="64" customWidth="1"/>
    <col min="2051" max="2051" width="11.28515625" style="64" bestFit="1" customWidth="1"/>
    <col min="2052" max="2052" width="20.42578125" style="64" customWidth="1"/>
    <col min="2053" max="2053" width="0.7109375" style="64" customWidth="1"/>
    <col min="2054" max="2054" width="9.7109375" style="64" customWidth="1"/>
    <col min="2055" max="2055" width="16" style="64" customWidth="1"/>
    <col min="2056" max="2056" width="7.5703125" style="64" customWidth="1"/>
    <col min="2057" max="2057" width="16.5703125" style="64" customWidth="1"/>
    <col min="2058" max="2058" width="0.7109375" style="64" customWidth="1"/>
    <col min="2059" max="2059" width="10.140625" style="64" bestFit="1" customWidth="1"/>
    <col min="2060" max="2060" width="20.140625" style="64" customWidth="1"/>
    <col min="2061" max="2061" width="8.85546875" style="64" customWidth="1"/>
    <col min="2062" max="2062" width="20.42578125" style="64" customWidth="1"/>
    <col min="2063" max="2063" width="11" style="64" bestFit="1" customWidth="1"/>
    <col min="2064" max="2064" width="12" style="64" bestFit="1" customWidth="1"/>
    <col min="2065" max="2065" width="9.140625" style="64"/>
    <col min="2066" max="2066" width="13.7109375" style="64" customWidth="1"/>
    <col min="2067" max="2304" width="9.140625" style="64"/>
    <col min="2305" max="2305" width="9.85546875" style="64" customWidth="1"/>
    <col min="2306" max="2306" width="24.5703125" style="64" customWidth="1"/>
    <col min="2307" max="2307" width="11.28515625" style="64" bestFit="1" customWidth="1"/>
    <col min="2308" max="2308" width="20.42578125" style="64" customWidth="1"/>
    <col min="2309" max="2309" width="0.7109375" style="64" customWidth="1"/>
    <col min="2310" max="2310" width="9.7109375" style="64" customWidth="1"/>
    <col min="2311" max="2311" width="16" style="64" customWidth="1"/>
    <col min="2312" max="2312" width="7.5703125" style="64" customWidth="1"/>
    <col min="2313" max="2313" width="16.5703125" style="64" customWidth="1"/>
    <col min="2314" max="2314" width="0.7109375" style="64" customWidth="1"/>
    <col min="2315" max="2315" width="10.140625" style="64" bestFit="1" customWidth="1"/>
    <col min="2316" max="2316" width="20.140625" style="64" customWidth="1"/>
    <col min="2317" max="2317" width="8.85546875" style="64" customWidth="1"/>
    <col min="2318" max="2318" width="20.42578125" style="64" customWidth="1"/>
    <col min="2319" max="2319" width="11" style="64" bestFit="1" customWidth="1"/>
    <col min="2320" max="2320" width="12" style="64" bestFit="1" customWidth="1"/>
    <col min="2321" max="2321" width="9.140625" style="64"/>
    <col min="2322" max="2322" width="13.7109375" style="64" customWidth="1"/>
    <col min="2323" max="2560" width="9.140625" style="64"/>
    <col min="2561" max="2561" width="9.85546875" style="64" customWidth="1"/>
    <col min="2562" max="2562" width="24.5703125" style="64" customWidth="1"/>
    <col min="2563" max="2563" width="11.28515625" style="64" bestFit="1" customWidth="1"/>
    <col min="2564" max="2564" width="20.42578125" style="64" customWidth="1"/>
    <col min="2565" max="2565" width="0.7109375" style="64" customWidth="1"/>
    <col min="2566" max="2566" width="9.7109375" style="64" customWidth="1"/>
    <col min="2567" max="2567" width="16" style="64" customWidth="1"/>
    <col min="2568" max="2568" width="7.5703125" style="64" customWidth="1"/>
    <col min="2569" max="2569" width="16.5703125" style="64" customWidth="1"/>
    <col min="2570" max="2570" width="0.7109375" style="64" customWidth="1"/>
    <col min="2571" max="2571" width="10.140625" style="64" bestFit="1" customWidth="1"/>
    <col min="2572" max="2572" width="20.140625" style="64" customWidth="1"/>
    <col min="2573" max="2573" width="8.85546875" style="64" customWidth="1"/>
    <col min="2574" max="2574" width="20.42578125" style="64" customWidth="1"/>
    <col min="2575" max="2575" width="11" style="64" bestFit="1" customWidth="1"/>
    <col min="2576" max="2576" width="12" style="64" bestFit="1" customWidth="1"/>
    <col min="2577" max="2577" width="9.140625" style="64"/>
    <col min="2578" max="2578" width="13.7109375" style="64" customWidth="1"/>
    <col min="2579" max="2816" width="9.140625" style="64"/>
    <col min="2817" max="2817" width="9.85546875" style="64" customWidth="1"/>
    <col min="2818" max="2818" width="24.5703125" style="64" customWidth="1"/>
    <col min="2819" max="2819" width="11.28515625" style="64" bestFit="1" customWidth="1"/>
    <col min="2820" max="2820" width="20.42578125" style="64" customWidth="1"/>
    <col min="2821" max="2821" width="0.7109375" style="64" customWidth="1"/>
    <col min="2822" max="2822" width="9.7109375" style="64" customWidth="1"/>
    <col min="2823" max="2823" width="16" style="64" customWidth="1"/>
    <col min="2824" max="2824" width="7.5703125" style="64" customWidth="1"/>
    <col min="2825" max="2825" width="16.5703125" style="64" customWidth="1"/>
    <col min="2826" max="2826" width="0.7109375" style="64" customWidth="1"/>
    <col min="2827" max="2827" width="10.140625" style="64" bestFit="1" customWidth="1"/>
    <col min="2828" max="2828" width="20.140625" style="64" customWidth="1"/>
    <col min="2829" max="2829" width="8.85546875" style="64" customWidth="1"/>
    <col min="2830" max="2830" width="20.42578125" style="64" customWidth="1"/>
    <col min="2831" max="2831" width="11" style="64" bestFit="1" customWidth="1"/>
    <col min="2832" max="2832" width="12" style="64" bestFit="1" customWidth="1"/>
    <col min="2833" max="2833" width="9.140625" style="64"/>
    <col min="2834" max="2834" width="13.7109375" style="64" customWidth="1"/>
    <col min="2835" max="3072" width="9.140625" style="64"/>
    <col min="3073" max="3073" width="9.85546875" style="64" customWidth="1"/>
    <col min="3074" max="3074" width="24.5703125" style="64" customWidth="1"/>
    <col min="3075" max="3075" width="11.28515625" style="64" bestFit="1" customWidth="1"/>
    <col min="3076" max="3076" width="20.42578125" style="64" customWidth="1"/>
    <col min="3077" max="3077" width="0.7109375" style="64" customWidth="1"/>
    <col min="3078" max="3078" width="9.7109375" style="64" customWidth="1"/>
    <col min="3079" max="3079" width="16" style="64" customWidth="1"/>
    <col min="3080" max="3080" width="7.5703125" style="64" customWidth="1"/>
    <col min="3081" max="3081" width="16.5703125" style="64" customWidth="1"/>
    <col min="3082" max="3082" width="0.7109375" style="64" customWidth="1"/>
    <col min="3083" max="3083" width="10.140625" style="64" bestFit="1" customWidth="1"/>
    <col min="3084" max="3084" width="20.140625" style="64" customWidth="1"/>
    <col min="3085" max="3085" width="8.85546875" style="64" customWidth="1"/>
    <col min="3086" max="3086" width="20.42578125" style="64" customWidth="1"/>
    <col min="3087" max="3087" width="11" style="64" bestFit="1" customWidth="1"/>
    <col min="3088" max="3088" width="12" style="64" bestFit="1" customWidth="1"/>
    <col min="3089" max="3089" width="9.140625" style="64"/>
    <col min="3090" max="3090" width="13.7109375" style="64" customWidth="1"/>
    <col min="3091" max="3328" width="9.140625" style="64"/>
    <col min="3329" max="3329" width="9.85546875" style="64" customWidth="1"/>
    <col min="3330" max="3330" width="24.5703125" style="64" customWidth="1"/>
    <col min="3331" max="3331" width="11.28515625" style="64" bestFit="1" customWidth="1"/>
    <col min="3332" max="3332" width="20.42578125" style="64" customWidth="1"/>
    <col min="3333" max="3333" width="0.7109375" style="64" customWidth="1"/>
    <col min="3334" max="3334" width="9.7109375" style="64" customWidth="1"/>
    <col min="3335" max="3335" width="16" style="64" customWidth="1"/>
    <col min="3336" max="3336" width="7.5703125" style="64" customWidth="1"/>
    <col min="3337" max="3337" width="16.5703125" style="64" customWidth="1"/>
    <col min="3338" max="3338" width="0.7109375" style="64" customWidth="1"/>
    <col min="3339" max="3339" width="10.140625" style="64" bestFit="1" customWidth="1"/>
    <col min="3340" max="3340" width="20.140625" style="64" customWidth="1"/>
    <col min="3341" max="3341" width="8.85546875" style="64" customWidth="1"/>
    <col min="3342" max="3342" width="20.42578125" style="64" customWidth="1"/>
    <col min="3343" max="3343" width="11" style="64" bestFit="1" customWidth="1"/>
    <col min="3344" max="3344" width="12" style="64" bestFit="1" customWidth="1"/>
    <col min="3345" max="3345" width="9.140625" style="64"/>
    <col min="3346" max="3346" width="13.7109375" style="64" customWidth="1"/>
    <col min="3347" max="3584" width="9.140625" style="64"/>
    <col min="3585" max="3585" width="9.85546875" style="64" customWidth="1"/>
    <col min="3586" max="3586" width="24.5703125" style="64" customWidth="1"/>
    <col min="3587" max="3587" width="11.28515625" style="64" bestFit="1" customWidth="1"/>
    <col min="3588" max="3588" width="20.42578125" style="64" customWidth="1"/>
    <col min="3589" max="3589" width="0.7109375" style="64" customWidth="1"/>
    <col min="3590" max="3590" width="9.7109375" style="64" customWidth="1"/>
    <col min="3591" max="3591" width="16" style="64" customWidth="1"/>
    <col min="3592" max="3592" width="7.5703125" style="64" customWidth="1"/>
    <col min="3593" max="3593" width="16.5703125" style="64" customWidth="1"/>
    <col min="3594" max="3594" width="0.7109375" style="64" customWidth="1"/>
    <col min="3595" max="3595" width="10.140625" style="64" bestFit="1" customWidth="1"/>
    <col min="3596" max="3596" width="20.140625" style="64" customWidth="1"/>
    <col min="3597" max="3597" width="8.85546875" style="64" customWidth="1"/>
    <col min="3598" max="3598" width="20.42578125" style="64" customWidth="1"/>
    <col min="3599" max="3599" width="11" style="64" bestFit="1" customWidth="1"/>
    <col min="3600" max="3600" width="12" style="64" bestFit="1" customWidth="1"/>
    <col min="3601" max="3601" width="9.140625" style="64"/>
    <col min="3602" max="3602" width="13.7109375" style="64" customWidth="1"/>
    <col min="3603" max="3840" width="9.140625" style="64"/>
    <col min="3841" max="3841" width="9.85546875" style="64" customWidth="1"/>
    <col min="3842" max="3842" width="24.5703125" style="64" customWidth="1"/>
    <col min="3843" max="3843" width="11.28515625" style="64" bestFit="1" customWidth="1"/>
    <col min="3844" max="3844" width="20.42578125" style="64" customWidth="1"/>
    <col min="3845" max="3845" width="0.7109375" style="64" customWidth="1"/>
    <col min="3846" max="3846" width="9.7109375" style="64" customWidth="1"/>
    <col min="3847" max="3847" width="16" style="64" customWidth="1"/>
    <col min="3848" max="3848" width="7.5703125" style="64" customWidth="1"/>
    <col min="3849" max="3849" width="16.5703125" style="64" customWidth="1"/>
    <col min="3850" max="3850" width="0.7109375" style="64" customWidth="1"/>
    <col min="3851" max="3851" width="10.140625" style="64" bestFit="1" customWidth="1"/>
    <col min="3852" max="3852" width="20.140625" style="64" customWidth="1"/>
    <col min="3853" max="3853" width="8.85546875" style="64" customWidth="1"/>
    <col min="3854" max="3854" width="20.42578125" style="64" customWidth="1"/>
    <col min="3855" max="3855" width="11" style="64" bestFit="1" customWidth="1"/>
    <col min="3856" max="3856" width="12" style="64" bestFit="1" customWidth="1"/>
    <col min="3857" max="3857" width="9.140625" style="64"/>
    <col min="3858" max="3858" width="13.7109375" style="64" customWidth="1"/>
    <col min="3859" max="4096" width="9.140625" style="64"/>
    <col min="4097" max="4097" width="9.85546875" style="64" customWidth="1"/>
    <col min="4098" max="4098" width="24.5703125" style="64" customWidth="1"/>
    <col min="4099" max="4099" width="11.28515625" style="64" bestFit="1" customWidth="1"/>
    <col min="4100" max="4100" width="20.42578125" style="64" customWidth="1"/>
    <col min="4101" max="4101" width="0.7109375" style="64" customWidth="1"/>
    <col min="4102" max="4102" width="9.7109375" style="64" customWidth="1"/>
    <col min="4103" max="4103" width="16" style="64" customWidth="1"/>
    <col min="4104" max="4104" width="7.5703125" style="64" customWidth="1"/>
    <col min="4105" max="4105" width="16.5703125" style="64" customWidth="1"/>
    <col min="4106" max="4106" width="0.7109375" style="64" customWidth="1"/>
    <col min="4107" max="4107" width="10.140625" style="64" bestFit="1" customWidth="1"/>
    <col min="4108" max="4108" width="20.140625" style="64" customWidth="1"/>
    <col min="4109" max="4109" width="8.85546875" style="64" customWidth="1"/>
    <col min="4110" max="4110" width="20.42578125" style="64" customWidth="1"/>
    <col min="4111" max="4111" width="11" style="64" bestFit="1" customWidth="1"/>
    <col min="4112" max="4112" width="12" style="64" bestFit="1" customWidth="1"/>
    <col min="4113" max="4113" width="9.140625" style="64"/>
    <col min="4114" max="4114" width="13.7109375" style="64" customWidth="1"/>
    <col min="4115" max="4352" width="9.140625" style="64"/>
    <col min="4353" max="4353" width="9.85546875" style="64" customWidth="1"/>
    <col min="4354" max="4354" width="24.5703125" style="64" customWidth="1"/>
    <col min="4355" max="4355" width="11.28515625" style="64" bestFit="1" customWidth="1"/>
    <col min="4356" max="4356" width="20.42578125" style="64" customWidth="1"/>
    <col min="4357" max="4357" width="0.7109375" style="64" customWidth="1"/>
    <col min="4358" max="4358" width="9.7109375" style="64" customWidth="1"/>
    <col min="4359" max="4359" width="16" style="64" customWidth="1"/>
    <col min="4360" max="4360" width="7.5703125" style="64" customWidth="1"/>
    <col min="4361" max="4361" width="16.5703125" style="64" customWidth="1"/>
    <col min="4362" max="4362" width="0.7109375" style="64" customWidth="1"/>
    <col min="4363" max="4363" width="10.140625" style="64" bestFit="1" customWidth="1"/>
    <col min="4364" max="4364" width="20.140625" style="64" customWidth="1"/>
    <col min="4365" max="4365" width="8.85546875" style="64" customWidth="1"/>
    <col min="4366" max="4366" width="20.42578125" style="64" customWidth="1"/>
    <col min="4367" max="4367" width="11" style="64" bestFit="1" customWidth="1"/>
    <col min="4368" max="4368" width="12" style="64" bestFit="1" customWidth="1"/>
    <col min="4369" max="4369" width="9.140625" style="64"/>
    <col min="4370" max="4370" width="13.7109375" style="64" customWidth="1"/>
    <col min="4371" max="4608" width="9.140625" style="64"/>
    <col min="4609" max="4609" width="9.85546875" style="64" customWidth="1"/>
    <col min="4610" max="4610" width="24.5703125" style="64" customWidth="1"/>
    <col min="4611" max="4611" width="11.28515625" style="64" bestFit="1" customWidth="1"/>
    <col min="4612" max="4612" width="20.42578125" style="64" customWidth="1"/>
    <col min="4613" max="4613" width="0.7109375" style="64" customWidth="1"/>
    <col min="4614" max="4614" width="9.7109375" style="64" customWidth="1"/>
    <col min="4615" max="4615" width="16" style="64" customWidth="1"/>
    <col min="4616" max="4616" width="7.5703125" style="64" customWidth="1"/>
    <col min="4617" max="4617" width="16.5703125" style="64" customWidth="1"/>
    <col min="4618" max="4618" width="0.7109375" style="64" customWidth="1"/>
    <col min="4619" max="4619" width="10.140625" style="64" bestFit="1" customWidth="1"/>
    <col min="4620" max="4620" width="20.140625" style="64" customWidth="1"/>
    <col min="4621" max="4621" width="8.85546875" style="64" customWidth="1"/>
    <col min="4622" max="4622" width="20.42578125" style="64" customWidth="1"/>
    <col min="4623" max="4623" width="11" style="64" bestFit="1" customWidth="1"/>
    <col min="4624" max="4624" width="12" style="64" bestFit="1" customWidth="1"/>
    <col min="4625" max="4625" width="9.140625" style="64"/>
    <col min="4626" max="4626" width="13.7109375" style="64" customWidth="1"/>
    <col min="4627" max="4864" width="9.140625" style="64"/>
    <col min="4865" max="4865" width="9.85546875" style="64" customWidth="1"/>
    <col min="4866" max="4866" width="24.5703125" style="64" customWidth="1"/>
    <col min="4867" max="4867" width="11.28515625" style="64" bestFit="1" customWidth="1"/>
    <col min="4868" max="4868" width="20.42578125" style="64" customWidth="1"/>
    <col min="4869" max="4869" width="0.7109375" style="64" customWidth="1"/>
    <col min="4870" max="4870" width="9.7109375" style="64" customWidth="1"/>
    <col min="4871" max="4871" width="16" style="64" customWidth="1"/>
    <col min="4872" max="4872" width="7.5703125" style="64" customWidth="1"/>
    <col min="4873" max="4873" width="16.5703125" style="64" customWidth="1"/>
    <col min="4874" max="4874" width="0.7109375" style="64" customWidth="1"/>
    <col min="4875" max="4875" width="10.140625" style="64" bestFit="1" customWidth="1"/>
    <col min="4876" max="4876" width="20.140625" style="64" customWidth="1"/>
    <col min="4877" max="4877" width="8.85546875" style="64" customWidth="1"/>
    <col min="4878" max="4878" width="20.42578125" style="64" customWidth="1"/>
    <col min="4879" max="4879" width="11" style="64" bestFit="1" customWidth="1"/>
    <col min="4880" max="4880" width="12" style="64" bestFit="1" customWidth="1"/>
    <col min="4881" max="4881" width="9.140625" style="64"/>
    <col min="4882" max="4882" width="13.7109375" style="64" customWidth="1"/>
    <col min="4883" max="5120" width="9.140625" style="64"/>
    <col min="5121" max="5121" width="9.85546875" style="64" customWidth="1"/>
    <col min="5122" max="5122" width="24.5703125" style="64" customWidth="1"/>
    <col min="5123" max="5123" width="11.28515625" style="64" bestFit="1" customWidth="1"/>
    <col min="5124" max="5124" width="20.42578125" style="64" customWidth="1"/>
    <col min="5125" max="5125" width="0.7109375" style="64" customWidth="1"/>
    <col min="5126" max="5126" width="9.7109375" style="64" customWidth="1"/>
    <col min="5127" max="5127" width="16" style="64" customWidth="1"/>
    <col min="5128" max="5128" width="7.5703125" style="64" customWidth="1"/>
    <col min="5129" max="5129" width="16.5703125" style="64" customWidth="1"/>
    <col min="5130" max="5130" width="0.7109375" style="64" customWidth="1"/>
    <col min="5131" max="5131" width="10.140625" style="64" bestFit="1" customWidth="1"/>
    <col min="5132" max="5132" width="20.140625" style="64" customWidth="1"/>
    <col min="5133" max="5133" width="8.85546875" style="64" customWidth="1"/>
    <col min="5134" max="5134" width="20.42578125" style="64" customWidth="1"/>
    <col min="5135" max="5135" width="11" style="64" bestFit="1" customWidth="1"/>
    <col min="5136" max="5136" width="12" style="64" bestFit="1" customWidth="1"/>
    <col min="5137" max="5137" width="9.140625" style="64"/>
    <col min="5138" max="5138" width="13.7109375" style="64" customWidth="1"/>
    <col min="5139" max="5376" width="9.140625" style="64"/>
    <col min="5377" max="5377" width="9.85546875" style="64" customWidth="1"/>
    <col min="5378" max="5378" width="24.5703125" style="64" customWidth="1"/>
    <col min="5379" max="5379" width="11.28515625" style="64" bestFit="1" customWidth="1"/>
    <col min="5380" max="5380" width="20.42578125" style="64" customWidth="1"/>
    <col min="5381" max="5381" width="0.7109375" style="64" customWidth="1"/>
    <col min="5382" max="5382" width="9.7109375" style="64" customWidth="1"/>
    <col min="5383" max="5383" width="16" style="64" customWidth="1"/>
    <col min="5384" max="5384" width="7.5703125" style="64" customWidth="1"/>
    <col min="5385" max="5385" width="16.5703125" style="64" customWidth="1"/>
    <col min="5386" max="5386" width="0.7109375" style="64" customWidth="1"/>
    <col min="5387" max="5387" width="10.140625" style="64" bestFit="1" customWidth="1"/>
    <col min="5388" max="5388" width="20.140625" style="64" customWidth="1"/>
    <col min="5389" max="5389" width="8.85546875" style="64" customWidth="1"/>
    <col min="5390" max="5390" width="20.42578125" style="64" customWidth="1"/>
    <col min="5391" max="5391" width="11" style="64" bestFit="1" customWidth="1"/>
    <col min="5392" max="5392" width="12" style="64" bestFit="1" customWidth="1"/>
    <col min="5393" max="5393" width="9.140625" style="64"/>
    <col min="5394" max="5394" width="13.7109375" style="64" customWidth="1"/>
    <col min="5395" max="5632" width="9.140625" style="64"/>
    <col min="5633" max="5633" width="9.85546875" style="64" customWidth="1"/>
    <col min="5634" max="5634" width="24.5703125" style="64" customWidth="1"/>
    <col min="5635" max="5635" width="11.28515625" style="64" bestFit="1" customWidth="1"/>
    <col min="5636" max="5636" width="20.42578125" style="64" customWidth="1"/>
    <col min="5637" max="5637" width="0.7109375" style="64" customWidth="1"/>
    <col min="5638" max="5638" width="9.7109375" style="64" customWidth="1"/>
    <col min="5639" max="5639" width="16" style="64" customWidth="1"/>
    <col min="5640" max="5640" width="7.5703125" style="64" customWidth="1"/>
    <col min="5641" max="5641" width="16.5703125" style="64" customWidth="1"/>
    <col min="5642" max="5642" width="0.7109375" style="64" customWidth="1"/>
    <col min="5643" max="5643" width="10.140625" style="64" bestFit="1" customWidth="1"/>
    <col min="5644" max="5644" width="20.140625" style="64" customWidth="1"/>
    <col min="5645" max="5645" width="8.85546875" style="64" customWidth="1"/>
    <col min="5646" max="5646" width="20.42578125" style="64" customWidth="1"/>
    <col min="5647" max="5647" width="11" style="64" bestFit="1" customWidth="1"/>
    <col min="5648" max="5648" width="12" style="64" bestFit="1" customWidth="1"/>
    <col min="5649" max="5649" width="9.140625" style="64"/>
    <col min="5650" max="5650" width="13.7109375" style="64" customWidth="1"/>
    <col min="5651" max="5888" width="9.140625" style="64"/>
    <col min="5889" max="5889" width="9.85546875" style="64" customWidth="1"/>
    <col min="5890" max="5890" width="24.5703125" style="64" customWidth="1"/>
    <col min="5891" max="5891" width="11.28515625" style="64" bestFit="1" customWidth="1"/>
    <col min="5892" max="5892" width="20.42578125" style="64" customWidth="1"/>
    <col min="5893" max="5893" width="0.7109375" style="64" customWidth="1"/>
    <col min="5894" max="5894" width="9.7109375" style="64" customWidth="1"/>
    <col min="5895" max="5895" width="16" style="64" customWidth="1"/>
    <col min="5896" max="5896" width="7.5703125" style="64" customWidth="1"/>
    <col min="5897" max="5897" width="16.5703125" style="64" customWidth="1"/>
    <col min="5898" max="5898" width="0.7109375" style="64" customWidth="1"/>
    <col min="5899" max="5899" width="10.140625" style="64" bestFit="1" customWidth="1"/>
    <col min="5900" max="5900" width="20.140625" style="64" customWidth="1"/>
    <col min="5901" max="5901" width="8.85546875" style="64" customWidth="1"/>
    <col min="5902" max="5902" width="20.42578125" style="64" customWidth="1"/>
    <col min="5903" max="5903" width="11" style="64" bestFit="1" customWidth="1"/>
    <col min="5904" max="5904" width="12" style="64" bestFit="1" customWidth="1"/>
    <col min="5905" max="5905" width="9.140625" style="64"/>
    <col min="5906" max="5906" width="13.7109375" style="64" customWidth="1"/>
    <col min="5907" max="6144" width="9.140625" style="64"/>
    <col min="6145" max="6145" width="9.85546875" style="64" customWidth="1"/>
    <col min="6146" max="6146" width="24.5703125" style="64" customWidth="1"/>
    <col min="6147" max="6147" width="11.28515625" style="64" bestFit="1" customWidth="1"/>
    <col min="6148" max="6148" width="20.42578125" style="64" customWidth="1"/>
    <col min="6149" max="6149" width="0.7109375" style="64" customWidth="1"/>
    <col min="6150" max="6150" width="9.7109375" style="64" customWidth="1"/>
    <col min="6151" max="6151" width="16" style="64" customWidth="1"/>
    <col min="6152" max="6152" width="7.5703125" style="64" customWidth="1"/>
    <col min="6153" max="6153" width="16.5703125" style="64" customWidth="1"/>
    <col min="6154" max="6154" width="0.7109375" style="64" customWidth="1"/>
    <col min="6155" max="6155" width="10.140625" style="64" bestFit="1" customWidth="1"/>
    <col min="6156" max="6156" width="20.140625" style="64" customWidth="1"/>
    <col min="6157" max="6157" width="8.85546875" style="64" customWidth="1"/>
    <col min="6158" max="6158" width="20.42578125" style="64" customWidth="1"/>
    <col min="6159" max="6159" width="11" style="64" bestFit="1" customWidth="1"/>
    <col min="6160" max="6160" width="12" style="64" bestFit="1" customWidth="1"/>
    <col min="6161" max="6161" width="9.140625" style="64"/>
    <col min="6162" max="6162" width="13.7109375" style="64" customWidth="1"/>
    <col min="6163" max="6400" width="9.140625" style="64"/>
    <col min="6401" max="6401" width="9.85546875" style="64" customWidth="1"/>
    <col min="6402" max="6402" width="24.5703125" style="64" customWidth="1"/>
    <col min="6403" max="6403" width="11.28515625" style="64" bestFit="1" customWidth="1"/>
    <col min="6404" max="6404" width="20.42578125" style="64" customWidth="1"/>
    <col min="6405" max="6405" width="0.7109375" style="64" customWidth="1"/>
    <col min="6406" max="6406" width="9.7109375" style="64" customWidth="1"/>
    <col min="6407" max="6407" width="16" style="64" customWidth="1"/>
    <col min="6408" max="6408" width="7.5703125" style="64" customWidth="1"/>
    <col min="6409" max="6409" width="16.5703125" style="64" customWidth="1"/>
    <col min="6410" max="6410" width="0.7109375" style="64" customWidth="1"/>
    <col min="6411" max="6411" width="10.140625" style="64" bestFit="1" customWidth="1"/>
    <col min="6412" max="6412" width="20.140625" style="64" customWidth="1"/>
    <col min="6413" max="6413" width="8.85546875" style="64" customWidth="1"/>
    <col min="6414" max="6414" width="20.42578125" style="64" customWidth="1"/>
    <col min="6415" max="6415" width="11" style="64" bestFit="1" customWidth="1"/>
    <col min="6416" max="6416" width="12" style="64" bestFit="1" customWidth="1"/>
    <col min="6417" max="6417" width="9.140625" style="64"/>
    <col min="6418" max="6418" width="13.7109375" style="64" customWidth="1"/>
    <col min="6419" max="6656" width="9.140625" style="64"/>
    <col min="6657" max="6657" width="9.85546875" style="64" customWidth="1"/>
    <col min="6658" max="6658" width="24.5703125" style="64" customWidth="1"/>
    <col min="6659" max="6659" width="11.28515625" style="64" bestFit="1" customWidth="1"/>
    <col min="6660" max="6660" width="20.42578125" style="64" customWidth="1"/>
    <col min="6661" max="6661" width="0.7109375" style="64" customWidth="1"/>
    <col min="6662" max="6662" width="9.7109375" style="64" customWidth="1"/>
    <col min="6663" max="6663" width="16" style="64" customWidth="1"/>
    <col min="6664" max="6664" width="7.5703125" style="64" customWidth="1"/>
    <col min="6665" max="6665" width="16.5703125" style="64" customWidth="1"/>
    <col min="6666" max="6666" width="0.7109375" style="64" customWidth="1"/>
    <col min="6667" max="6667" width="10.140625" style="64" bestFit="1" customWidth="1"/>
    <col min="6668" max="6668" width="20.140625" style="64" customWidth="1"/>
    <col min="6669" max="6669" width="8.85546875" style="64" customWidth="1"/>
    <col min="6670" max="6670" width="20.42578125" style="64" customWidth="1"/>
    <col min="6671" max="6671" width="11" style="64" bestFit="1" customWidth="1"/>
    <col min="6672" max="6672" width="12" style="64" bestFit="1" customWidth="1"/>
    <col min="6673" max="6673" width="9.140625" style="64"/>
    <col min="6674" max="6674" width="13.7109375" style="64" customWidth="1"/>
    <col min="6675" max="6912" width="9.140625" style="64"/>
    <col min="6913" max="6913" width="9.85546875" style="64" customWidth="1"/>
    <col min="6914" max="6914" width="24.5703125" style="64" customWidth="1"/>
    <col min="6915" max="6915" width="11.28515625" style="64" bestFit="1" customWidth="1"/>
    <col min="6916" max="6916" width="20.42578125" style="64" customWidth="1"/>
    <col min="6917" max="6917" width="0.7109375" style="64" customWidth="1"/>
    <col min="6918" max="6918" width="9.7109375" style="64" customWidth="1"/>
    <col min="6919" max="6919" width="16" style="64" customWidth="1"/>
    <col min="6920" max="6920" width="7.5703125" style="64" customWidth="1"/>
    <col min="6921" max="6921" width="16.5703125" style="64" customWidth="1"/>
    <col min="6922" max="6922" width="0.7109375" style="64" customWidth="1"/>
    <col min="6923" max="6923" width="10.140625" style="64" bestFit="1" customWidth="1"/>
    <col min="6924" max="6924" width="20.140625" style="64" customWidth="1"/>
    <col min="6925" max="6925" width="8.85546875" style="64" customWidth="1"/>
    <col min="6926" max="6926" width="20.42578125" style="64" customWidth="1"/>
    <col min="6927" max="6927" width="11" style="64" bestFit="1" customWidth="1"/>
    <col min="6928" max="6928" width="12" style="64" bestFit="1" customWidth="1"/>
    <col min="6929" max="6929" width="9.140625" style="64"/>
    <col min="6930" max="6930" width="13.7109375" style="64" customWidth="1"/>
    <col min="6931" max="7168" width="9.140625" style="64"/>
    <col min="7169" max="7169" width="9.85546875" style="64" customWidth="1"/>
    <col min="7170" max="7170" width="24.5703125" style="64" customWidth="1"/>
    <col min="7171" max="7171" width="11.28515625" style="64" bestFit="1" customWidth="1"/>
    <col min="7172" max="7172" width="20.42578125" style="64" customWidth="1"/>
    <col min="7173" max="7173" width="0.7109375" style="64" customWidth="1"/>
    <col min="7174" max="7174" width="9.7109375" style="64" customWidth="1"/>
    <col min="7175" max="7175" width="16" style="64" customWidth="1"/>
    <col min="7176" max="7176" width="7.5703125" style="64" customWidth="1"/>
    <col min="7177" max="7177" width="16.5703125" style="64" customWidth="1"/>
    <col min="7178" max="7178" width="0.7109375" style="64" customWidth="1"/>
    <col min="7179" max="7179" width="10.140625" style="64" bestFit="1" customWidth="1"/>
    <col min="7180" max="7180" width="20.140625" style="64" customWidth="1"/>
    <col min="7181" max="7181" width="8.85546875" style="64" customWidth="1"/>
    <col min="7182" max="7182" width="20.42578125" style="64" customWidth="1"/>
    <col min="7183" max="7183" width="11" style="64" bestFit="1" customWidth="1"/>
    <col min="7184" max="7184" width="12" style="64" bestFit="1" customWidth="1"/>
    <col min="7185" max="7185" width="9.140625" style="64"/>
    <col min="7186" max="7186" width="13.7109375" style="64" customWidth="1"/>
    <col min="7187" max="7424" width="9.140625" style="64"/>
    <col min="7425" max="7425" width="9.85546875" style="64" customWidth="1"/>
    <col min="7426" max="7426" width="24.5703125" style="64" customWidth="1"/>
    <col min="7427" max="7427" width="11.28515625" style="64" bestFit="1" customWidth="1"/>
    <col min="7428" max="7428" width="20.42578125" style="64" customWidth="1"/>
    <col min="7429" max="7429" width="0.7109375" style="64" customWidth="1"/>
    <col min="7430" max="7430" width="9.7109375" style="64" customWidth="1"/>
    <col min="7431" max="7431" width="16" style="64" customWidth="1"/>
    <col min="7432" max="7432" width="7.5703125" style="64" customWidth="1"/>
    <col min="7433" max="7433" width="16.5703125" style="64" customWidth="1"/>
    <col min="7434" max="7434" width="0.7109375" style="64" customWidth="1"/>
    <col min="7435" max="7435" width="10.140625" style="64" bestFit="1" customWidth="1"/>
    <col min="7436" max="7436" width="20.140625" style="64" customWidth="1"/>
    <col min="7437" max="7437" width="8.85546875" style="64" customWidth="1"/>
    <col min="7438" max="7438" width="20.42578125" style="64" customWidth="1"/>
    <col min="7439" max="7439" width="11" style="64" bestFit="1" customWidth="1"/>
    <col min="7440" max="7440" width="12" style="64" bestFit="1" customWidth="1"/>
    <col min="7441" max="7441" width="9.140625" style="64"/>
    <col min="7442" max="7442" width="13.7109375" style="64" customWidth="1"/>
    <col min="7443" max="7680" width="9.140625" style="64"/>
    <col min="7681" max="7681" width="9.85546875" style="64" customWidth="1"/>
    <col min="7682" max="7682" width="24.5703125" style="64" customWidth="1"/>
    <col min="7683" max="7683" width="11.28515625" style="64" bestFit="1" customWidth="1"/>
    <col min="7684" max="7684" width="20.42578125" style="64" customWidth="1"/>
    <col min="7685" max="7685" width="0.7109375" style="64" customWidth="1"/>
    <col min="7686" max="7686" width="9.7109375" style="64" customWidth="1"/>
    <col min="7687" max="7687" width="16" style="64" customWidth="1"/>
    <col min="7688" max="7688" width="7.5703125" style="64" customWidth="1"/>
    <col min="7689" max="7689" width="16.5703125" style="64" customWidth="1"/>
    <col min="7690" max="7690" width="0.7109375" style="64" customWidth="1"/>
    <col min="7691" max="7691" width="10.140625" style="64" bestFit="1" customWidth="1"/>
    <col min="7692" max="7692" width="20.140625" style="64" customWidth="1"/>
    <col min="7693" max="7693" width="8.85546875" style="64" customWidth="1"/>
    <col min="7694" max="7694" width="20.42578125" style="64" customWidth="1"/>
    <col min="7695" max="7695" width="11" style="64" bestFit="1" customWidth="1"/>
    <col min="7696" max="7696" width="12" style="64" bestFit="1" customWidth="1"/>
    <col min="7697" max="7697" width="9.140625" style="64"/>
    <col min="7698" max="7698" width="13.7109375" style="64" customWidth="1"/>
    <col min="7699" max="7936" width="9.140625" style="64"/>
    <col min="7937" max="7937" width="9.85546875" style="64" customWidth="1"/>
    <col min="7938" max="7938" width="24.5703125" style="64" customWidth="1"/>
    <col min="7939" max="7939" width="11.28515625" style="64" bestFit="1" customWidth="1"/>
    <col min="7940" max="7940" width="20.42578125" style="64" customWidth="1"/>
    <col min="7941" max="7941" width="0.7109375" style="64" customWidth="1"/>
    <col min="7942" max="7942" width="9.7109375" style="64" customWidth="1"/>
    <col min="7943" max="7943" width="16" style="64" customWidth="1"/>
    <col min="7944" max="7944" width="7.5703125" style="64" customWidth="1"/>
    <col min="7945" max="7945" width="16.5703125" style="64" customWidth="1"/>
    <col min="7946" max="7946" width="0.7109375" style="64" customWidth="1"/>
    <col min="7947" max="7947" width="10.140625" style="64" bestFit="1" customWidth="1"/>
    <col min="7948" max="7948" width="20.140625" style="64" customWidth="1"/>
    <col min="7949" max="7949" width="8.85546875" style="64" customWidth="1"/>
    <col min="7950" max="7950" width="20.42578125" style="64" customWidth="1"/>
    <col min="7951" max="7951" width="11" style="64" bestFit="1" customWidth="1"/>
    <col min="7952" max="7952" width="12" style="64" bestFit="1" customWidth="1"/>
    <col min="7953" max="7953" width="9.140625" style="64"/>
    <col min="7954" max="7954" width="13.7109375" style="64" customWidth="1"/>
    <col min="7955" max="8192" width="9.140625" style="64"/>
    <col min="8193" max="8193" width="9.85546875" style="64" customWidth="1"/>
    <col min="8194" max="8194" width="24.5703125" style="64" customWidth="1"/>
    <col min="8195" max="8195" width="11.28515625" style="64" bestFit="1" customWidth="1"/>
    <col min="8196" max="8196" width="20.42578125" style="64" customWidth="1"/>
    <col min="8197" max="8197" width="0.7109375" style="64" customWidth="1"/>
    <col min="8198" max="8198" width="9.7109375" style="64" customWidth="1"/>
    <col min="8199" max="8199" width="16" style="64" customWidth="1"/>
    <col min="8200" max="8200" width="7.5703125" style="64" customWidth="1"/>
    <col min="8201" max="8201" width="16.5703125" style="64" customWidth="1"/>
    <col min="8202" max="8202" width="0.7109375" style="64" customWidth="1"/>
    <col min="8203" max="8203" width="10.140625" style="64" bestFit="1" customWidth="1"/>
    <col min="8204" max="8204" width="20.140625" style="64" customWidth="1"/>
    <col min="8205" max="8205" width="8.85546875" style="64" customWidth="1"/>
    <col min="8206" max="8206" width="20.42578125" style="64" customWidth="1"/>
    <col min="8207" max="8207" width="11" style="64" bestFit="1" customWidth="1"/>
    <col min="8208" max="8208" width="12" style="64" bestFit="1" customWidth="1"/>
    <col min="8209" max="8209" width="9.140625" style="64"/>
    <col min="8210" max="8210" width="13.7109375" style="64" customWidth="1"/>
    <col min="8211" max="8448" width="9.140625" style="64"/>
    <col min="8449" max="8449" width="9.85546875" style="64" customWidth="1"/>
    <col min="8450" max="8450" width="24.5703125" style="64" customWidth="1"/>
    <col min="8451" max="8451" width="11.28515625" style="64" bestFit="1" customWidth="1"/>
    <col min="8452" max="8452" width="20.42578125" style="64" customWidth="1"/>
    <col min="8453" max="8453" width="0.7109375" style="64" customWidth="1"/>
    <col min="8454" max="8454" width="9.7109375" style="64" customWidth="1"/>
    <col min="8455" max="8455" width="16" style="64" customWidth="1"/>
    <col min="8456" max="8456" width="7.5703125" style="64" customWidth="1"/>
    <col min="8457" max="8457" width="16.5703125" style="64" customWidth="1"/>
    <col min="8458" max="8458" width="0.7109375" style="64" customWidth="1"/>
    <col min="8459" max="8459" width="10.140625" style="64" bestFit="1" customWidth="1"/>
    <col min="8460" max="8460" width="20.140625" style="64" customWidth="1"/>
    <col min="8461" max="8461" width="8.85546875" style="64" customWidth="1"/>
    <col min="8462" max="8462" width="20.42578125" style="64" customWidth="1"/>
    <col min="8463" max="8463" width="11" style="64" bestFit="1" customWidth="1"/>
    <col min="8464" max="8464" width="12" style="64" bestFit="1" customWidth="1"/>
    <col min="8465" max="8465" width="9.140625" style="64"/>
    <col min="8466" max="8466" width="13.7109375" style="64" customWidth="1"/>
    <col min="8467" max="8704" width="9.140625" style="64"/>
    <col min="8705" max="8705" width="9.85546875" style="64" customWidth="1"/>
    <col min="8706" max="8706" width="24.5703125" style="64" customWidth="1"/>
    <col min="8707" max="8707" width="11.28515625" style="64" bestFit="1" customWidth="1"/>
    <col min="8708" max="8708" width="20.42578125" style="64" customWidth="1"/>
    <col min="8709" max="8709" width="0.7109375" style="64" customWidth="1"/>
    <col min="8710" max="8710" width="9.7109375" style="64" customWidth="1"/>
    <col min="8711" max="8711" width="16" style="64" customWidth="1"/>
    <col min="8712" max="8712" width="7.5703125" style="64" customWidth="1"/>
    <col min="8713" max="8713" width="16.5703125" style="64" customWidth="1"/>
    <col min="8714" max="8714" width="0.7109375" style="64" customWidth="1"/>
    <col min="8715" max="8715" width="10.140625" style="64" bestFit="1" customWidth="1"/>
    <col min="8716" max="8716" width="20.140625" style="64" customWidth="1"/>
    <col min="8717" max="8717" width="8.85546875" style="64" customWidth="1"/>
    <col min="8718" max="8718" width="20.42578125" style="64" customWidth="1"/>
    <col min="8719" max="8719" width="11" style="64" bestFit="1" customWidth="1"/>
    <col min="8720" max="8720" width="12" style="64" bestFit="1" customWidth="1"/>
    <col min="8721" max="8721" width="9.140625" style="64"/>
    <col min="8722" max="8722" width="13.7109375" style="64" customWidth="1"/>
    <col min="8723" max="8960" width="9.140625" style="64"/>
    <col min="8961" max="8961" width="9.85546875" style="64" customWidth="1"/>
    <col min="8962" max="8962" width="24.5703125" style="64" customWidth="1"/>
    <col min="8963" max="8963" width="11.28515625" style="64" bestFit="1" customWidth="1"/>
    <col min="8964" max="8964" width="20.42578125" style="64" customWidth="1"/>
    <col min="8965" max="8965" width="0.7109375" style="64" customWidth="1"/>
    <col min="8966" max="8966" width="9.7109375" style="64" customWidth="1"/>
    <col min="8967" max="8967" width="16" style="64" customWidth="1"/>
    <col min="8968" max="8968" width="7.5703125" style="64" customWidth="1"/>
    <col min="8969" max="8969" width="16.5703125" style="64" customWidth="1"/>
    <col min="8970" max="8970" width="0.7109375" style="64" customWidth="1"/>
    <col min="8971" max="8971" width="10.140625" style="64" bestFit="1" customWidth="1"/>
    <col min="8972" max="8972" width="20.140625" style="64" customWidth="1"/>
    <col min="8973" max="8973" width="8.85546875" style="64" customWidth="1"/>
    <col min="8974" max="8974" width="20.42578125" style="64" customWidth="1"/>
    <col min="8975" max="8975" width="11" style="64" bestFit="1" customWidth="1"/>
    <col min="8976" max="8976" width="12" style="64" bestFit="1" customWidth="1"/>
    <col min="8977" max="8977" width="9.140625" style="64"/>
    <col min="8978" max="8978" width="13.7109375" style="64" customWidth="1"/>
    <col min="8979" max="9216" width="9.140625" style="64"/>
    <col min="9217" max="9217" width="9.85546875" style="64" customWidth="1"/>
    <col min="9218" max="9218" width="24.5703125" style="64" customWidth="1"/>
    <col min="9219" max="9219" width="11.28515625" style="64" bestFit="1" customWidth="1"/>
    <col min="9220" max="9220" width="20.42578125" style="64" customWidth="1"/>
    <col min="9221" max="9221" width="0.7109375" style="64" customWidth="1"/>
    <col min="9222" max="9222" width="9.7109375" style="64" customWidth="1"/>
    <col min="9223" max="9223" width="16" style="64" customWidth="1"/>
    <col min="9224" max="9224" width="7.5703125" style="64" customWidth="1"/>
    <col min="9225" max="9225" width="16.5703125" style="64" customWidth="1"/>
    <col min="9226" max="9226" width="0.7109375" style="64" customWidth="1"/>
    <col min="9227" max="9227" width="10.140625" style="64" bestFit="1" customWidth="1"/>
    <col min="9228" max="9228" width="20.140625" style="64" customWidth="1"/>
    <col min="9229" max="9229" width="8.85546875" style="64" customWidth="1"/>
    <col min="9230" max="9230" width="20.42578125" style="64" customWidth="1"/>
    <col min="9231" max="9231" width="11" style="64" bestFit="1" customWidth="1"/>
    <col min="9232" max="9232" width="12" style="64" bestFit="1" customWidth="1"/>
    <col min="9233" max="9233" width="9.140625" style="64"/>
    <col min="9234" max="9234" width="13.7109375" style="64" customWidth="1"/>
    <col min="9235" max="9472" width="9.140625" style="64"/>
    <col min="9473" max="9473" width="9.85546875" style="64" customWidth="1"/>
    <col min="9474" max="9474" width="24.5703125" style="64" customWidth="1"/>
    <col min="9475" max="9475" width="11.28515625" style="64" bestFit="1" customWidth="1"/>
    <col min="9476" max="9476" width="20.42578125" style="64" customWidth="1"/>
    <col min="9477" max="9477" width="0.7109375" style="64" customWidth="1"/>
    <col min="9478" max="9478" width="9.7109375" style="64" customWidth="1"/>
    <col min="9479" max="9479" width="16" style="64" customWidth="1"/>
    <col min="9480" max="9480" width="7.5703125" style="64" customWidth="1"/>
    <col min="9481" max="9481" width="16.5703125" style="64" customWidth="1"/>
    <col min="9482" max="9482" width="0.7109375" style="64" customWidth="1"/>
    <col min="9483" max="9483" width="10.140625" style="64" bestFit="1" customWidth="1"/>
    <col min="9484" max="9484" width="20.140625" style="64" customWidth="1"/>
    <col min="9485" max="9485" width="8.85546875" style="64" customWidth="1"/>
    <col min="9486" max="9486" width="20.42578125" style="64" customWidth="1"/>
    <col min="9487" max="9487" width="11" style="64" bestFit="1" customWidth="1"/>
    <col min="9488" max="9488" width="12" style="64" bestFit="1" customWidth="1"/>
    <col min="9489" max="9489" width="9.140625" style="64"/>
    <col min="9490" max="9490" width="13.7109375" style="64" customWidth="1"/>
    <col min="9491" max="9728" width="9.140625" style="64"/>
    <col min="9729" max="9729" width="9.85546875" style="64" customWidth="1"/>
    <col min="9730" max="9730" width="24.5703125" style="64" customWidth="1"/>
    <col min="9731" max="9731" width="11.28515625" style="64" bestFit="1" customWidth="1"/>
    <col min="9732" max="9732" width="20.42578125" style="64" customWidth="1"/>
    <col min="9733" max="9733" width="0.7109375" style="64" customWidth="1"/>
    <col min="9734" max="9734" width="9.7109375" style="64" customWidth="1"/>
    <col min="9735" max="9735" width="16" style="64" customWidth="1"/>
    <col min="9736" max="9736" width="7.5703125" style="64" customWidth="1"/>
    <col min="9737" max="9737" width="16.5703125" style="64" customWidth="1"/>
    <col min="9738" max="9738" width="0.7109375" style="64" customWidth="1"/>
    <col min="9739" max="9739" width="10.140625" style="64" bestFit="1" customWidth="1"/>
    <col min="9740" max="9740" width="20.140625" style="64" customWidth="1"/>
    <col min="9741" max="9741" width="8.85546875" style="64" customWidth="1"/>
    <col min="9742" max="9742" width="20.42578125" style="64" customWidth="1"/>
    <col min="9743" max="9743" width="11" style="64" bestFit="1" customWidth="1"/>
    <col min="9744" max="9744" width="12" style="64" bestFit="1" customWidth="1"/>
    <col min="9745" max="9745" width="9.140625" style="64"/>
    <col min="9746" max="9746" width="13.7109375" style="64" customWidth="1"/>
    <col min="9747" max="9984" width="9.140625" style="64"/>
    <col min="9985" max="9985" width="9.85546875" style="64" customWidth="1"/>
    <col min="9986" max="9986" width="24.5703125" style="64" customWidth="1"/>
    <col min="9987" max="9987" width="11.28515625" style="64" bestFit="1" customWidth="1"/>
    <col min="9988" max="9988" width="20.42578125" style="64" customWidth="1"/>
    <col min="9989" max="9989" width="0.7109375" style="64" customWidth="1"/>
    <col min="9990" max="9990" width="9.7109375" style="64" customWidth="1"/>
    <col min="9991" max="9991" width="16" style="64" customWidth="1"/>
    <col min="9992" max="9992" width="7.5703125" style="64" customWidth="1"/>
    <col min="9993" max="9993" width="16.5703125" style="64" customWidth="1"/>
    <col min="9994" max="9994" width="0.7109375" style="64" customWidth="1"/>
    <col min="9995" max="9995" width="10.140625" style="64" bestFit="1" customWidth="1"/>
    <col min="9996" max="9996" width="20.140625" style="64" customWidth="1"/>
    <col min="9997" max="9997" width="8.85546875" style="64" customWidth="1"/>
    <col min="9998" max="9998" width="20.42578125" style="64" customWidth="1"/>
    <col min="9999" max="9999" width="11" style="64" bestFit="1" customWidth="1"/>
    <col min="10000" max="10000" width="12" style="64" bestFit="1" customWidth="1"/>
    <col min="10001" max="10001" width="9.140625" style="64"/>
    <col min="10002" max="10002" width="13.7109375" style="64" customWidth="1"/>
    <col min="10003" max="10240" width="9.140625" style="64"/>
    <col min="10241" max="10241" width="9.85546875" style="64" customWidth="1"/>
    <col min="10242" max="10242" width="24.5703125" style="64" customWidth="1"/>
    <col min="10243" max="10243" width="11.28515625" style="64" bestFit="1" customWidth="1"/>
    <col min="10244" max="10244" width="20.42578125" style="64" customWidth="1"/>
    <col min="10245" max="10245" width="0.7109375" style="64" customWidth="1"/>
    <col min="10246" max="10246" width="9.7109375" style="64" customWidth="1"/>
    <col min="10247" max="10247" width="16" style="64" customWidth="1"/>
    <col min="10248" max="10248" width="7.5703125" style="64" customWidth="1"/>
    <col min="10249" max="10249" width="16.5703125" style="64" customWidth="1"/>
    <col min="10250" max="10250" width="0.7109375" style="64" customWidth="1"/>
    <col min="10251" max="10251" width="10.140625" style="64" bestFit="1" customWidth="1"/>
    <col min="10252" max="10252" width="20.140625" style="64" customWidth="1"/>
    <col min="10253" max="10253" width="8.85546875" style="64" customWidth="1"/>
    <col min="10254" max="10254" width="20.42578125" style="64" customWidth="1"/>
    <col min="10255" max="10255" width="11" style="64" bestFit="1" customWidth="1"/>
    <col min="10256" max="10256" width="12" style="64" bestFit="1" customWidth="1"/>
    <col min="10257" max="10257" width="9.140625" style="64"/>
    <col min="10258" max="10258" width="13.7109375" style="64" customWidth="1"/>
    <col min="10259" max="10496" width="9.140625" style="64"/>
    <col min="10497" max="10497" width="9.85546875" style="64" customWidth="1"/>
    <col min="10498" max="10498" width="24.5703125" style="64" customWidth="1"/>
    <col min="10499" max="10499" width="11.28515625" style="64" bestFit="1" customWidth="1"/>
    <col min="10500" max="10500" width="20.42578125" style="64" customWidth="1"/>
    <col min="10501" max="10501" width="0.7109375" style="64" customWidth="1"/>
    <col min="10502" max="10502" width="9.7109375" style="64" customWidth="1"/>
    <col min="10503" max="10503" width="16" style="64" customWidth="1"/>
    <col min="10504" max="10504" width="7.5703125" style="64" customWidth="1"/>
    <col min="10505" max="10505" width="16.5703125" style="64" customWidth="1"/>
    <col min="10506" max="10506" width="0.7109375" style="64" customWidth="1"/>
    <col min="10507" max="10507" width="10.140625" style="64" bestFit="1" customWidth="1"/>
    <col min="10508" max="10508" width="20.140625" style="64" customWidth="1"/>
    <col min="10509" max="10509" width="8.85546875" style="64" customWidth="1"/>
    <col min="10510" max="10510" width="20.42578125" style="64" customWidth="1"/>
    <col min="10511" max="10511" width="11" style="64" bestFit="1" customWidth="1"/>
    <col min="10512" max="10512" width="12" style="64" bestFit="1" customWidth="1"/>
    <col min="10513" max="10513" width="9.140625" style="64"/>
    <col min="10514" max="10514" width="13.7109375" style="64" customWidth="1"/>
    <col min="10515" max="10752" width="9.140625" style="64"/>
    <col min="10753" max="10753" width="9.85546875" style="64" customWidth="1"/>
    <col min="10754" max="10754" width="24.5703125" style="64" customWidth="1"/>
    <col min="10755" max="10755" width="11.28515625" style="64" bestFit="1" customWidth="1"/>
    <col min="10756" max="10756" width="20.42578125" style="64" customWidth="1"/>
    <col min="10757" max="10757" width="0.7109375" style="64" customWidth="1"/>
    <col min="10758" max="10758" width="9.7109375" style="64" customWidth="1"/>
    <col min="10759" max="10759" width="16" style="64" customWidth="1"/>
    <col min="10760" max="10760" width="7.5703125" style="64" customWidth="1"/>
    <col min="10761" max="10761" width="16.5703125" style="64" customWidth="1"/>
    <col min="10762" max="10762" width="0.7109375" style="64" customWidth="1"/>
    <col min="10763" max="10763" width="10.140625" style="64" bestFit="1" customWidth="1"/>
    <col min="10764" max="10764" width="20.140625" style="64" customWidth="1"/>
    <col min="10765" max="10765" width="8.85546875" style="64" customWidth="1"/>
    <col min="10766" max="10766" width="20.42578125" style="64" customWidth="1"/>
    <col min="10767" max="10767" width="11" style="64" bestFit="1" customWidth="1"/>
    <col min="10768" max="10768" width="12" style="64" bestFit="1" customWidth="1"/>
    <col min="10769" max="10769" width="9.140625" style="64"/>
    <col min="10770" max="10770" width="13.7109375" style="64" customWidth="1"/>
    <col min="10771" max="11008" width="9.140625" style="64"/>
    <col min="11009" max="11009" width="9.85546875" style="64" customWidth="1"/>
    <col min="11010" max="11010" width="24.5703125" style="64" customWidth="1"/>
    <col min="11011" max="11011" width="11.28515625" style="64" bestFit="1" customWidth="1"/>
    <col min="11012" max="11012" width="20.42578125" style="64" customWidth="1"/>
    <col min="11013" max="11013" width="0.7109375" style="64" customWidth="1"/>
    <col min="11014" max="11014" width="9.7109375" style="64" customWidth="1"/>
    <col min="11015" max="11015" width="16" style="64" customWidth="1"/>
    <col min="11016" max="11016" width="7.5703125" style="64" customWidth="1"/>
    <col min="11017" max="11017" width="16.5703125" style="64" customWidth="1"/>
    <col min="11018" max="11018" width="0.7109375" style="64" customWidth="1"/>
    <col min="11019" max="11019" width="10.140625" style="64" bestFit="1" customWidth="1"/>
    <col min="11020" max="11020" width="20.140625" style="64" customWidth="1"/>
    <col min="11021" max="11021" width="8.85546875" style="64" customWidth="1"/>
    <col min="11022" max="11022" width="20.42578125" style="64" customWidth="1"/>
    <col min="11023" max="11023" width="11" style="64" bestFit="1" customWidth="1"/>
    <col min="11024" max="11024" width="12" style="64" bestFit="1" customWidth="1"/>
    <col min="11025" max="11025" width="9.140625" style="64"/>
    <col min="11026" max="11026" width="13.7109375" style="64" customWidth="1"/>
    <col min="11027" max="11264" width="9.140625" style="64"/>
    <col min="11265" max="11265" width="9.85546875" style="64" customWidth="1"/>
    <col min="11266" max="11266" width="24.5703125" style="64" customWidth="1"/>
    <col min="11267" max="11267" width="11.28515625" style="64" bestFit="1" customWidth="1"/>
    <col min="11268" max="11268" width="20.42578125" style="64" customWidth="1"/>
    <col min="11269" max="11269" width="0.7109375" style="64" customWidth="1"/>
    <col min="11270" max="11270" width="9.7109375" style="64" customWidth="1"/>
    <col min="11271" max="11271" width="16" style="64" customWidth="1"/>
    <col min="11272" max="11272" width="7.5703125" style="64" customWidth="1"/>
    <col min="11273" max="11273" width="16.5703125" style="64" customWidth="1"/>
    <col min="11274" max="11274" width="0.7109375" style="64" customWidth="1"/>
    <col min="11275" max="11275" width="10.140625" style="64" bestFit="1" customWidth="1"/>
    <col min="11276" max="11276" width="20.140625" style="64" customWidth="1"/>
    <col min="11277" max="11277" width="8.85546875" style="64" customWidth="1"/>
    <col min="11278" max="11278" width="20.42578125" style="64" customWidth="1"/>
    <col min="11279" max="11279" width="11" style="64" bestFit="1" customWidth="1"/>
    <col min="11280" max="11280" width="12" style="64" bestFit="1" customWidth="1"/>
    <col min="11281" max="11281" width="9.140625" style="64"/>
    <col min="11282" max="11282" width="13.7109375" style="64" customWidth="1"/>
    <col min="11283" max="11520" width="9.140625" style="64"/>
    <col min="11521" max="11521" width="9.85546875" style="64" customWidth="1"/>
    <col min="11522" max="11522" width="24.5703125" style="64" customWidth="1"/>
    <col min="11523" max="11523" width="11.28515625" style="64" bestFit="1" customWidth="1"/>
    <col min="11524" max="11524" width="20.42578125" style="64" customWidth="1"/>
    <col min="11525" max="11525" width="0.7109375" style="64" customWidth="1"/>
    <col min="11526" max="11526" width="9.7109375" style="64" customWidth="1"/>
    <col min="11527" max="11527" width="16" style="64" customWidth="1"/>
    <col min="11528" max="11528" width="7.5703125" style="64" customWidth="1"/>
    <col min="11529" max="11529" width="16.5703125" style="64" customWidth="1"/>
    <col min="11530" max="11530" width="0.7109375" style="64" customWidth="1"/>
    <col min="11531" max="11531" width="10.140625" style="64" bestFit="1" customWidth="1"/>
    <col min="11532" max="11532" width="20.140625" style="64" customWidth="1"/>
    <col min="11533" max="11533" width="8.85546875" style="64" customWidth="1"/>
    <col min="11534" max="11534" width="20.42578125" style="64" customWidth="1"/>
    <col min="11535" max="11535" width="11" style="64" bestFit="1" customWidth="1"/>
    <col min="11536" max="11536" width="12" style="64" bestFit="1" customWidth="1"/>
    <col min="11537" max="11537" width="9.140625" style="64"/>
    <col min="11538" max="11538" width="13.7109375" style="64" customWidth="1"/>
    <col min="11539" max="11776" width="9.140625" style="64"/>
    <col min="11777" max="11777" width="9.85546875" style="64" customWidth="1"/>
    <col min="11778" max="11778" width="24.5703125" style="64" customWidth="1"/>
    <col min="11779" max="11779" width="11.28515625" style="64" bestFit="1" customWidth="1"/>
    <col min="11780" max="11780" width="20.42578125" style="64" customWidth="1"/>
    <col min="11781" max="11781" width="0.7109375" style="64" customWidth="1"/>
    <col min="11782" max="11782" width="9.7109375" style="64" customWidth="1"/>
    <col min="11783" max="11783" width="16" style="64" customWidth="1"/>
    <col min="11784" max="11784" width="7.5703125" style="64" customWidth="1"/>
    <col min="11785" max="11785" width="16.5703125" style="64" customWidth="1"/>
    <col min="11786" max="11786" width="0.7109375" style="64" customWidth="1"/>
    <col min="11787" max="11787" width="10.140625" style="64" bestFit="1" customWidth="1"/>
    <col min="11788" max="11788" width="20.140625" style="64" customWidth="1"/>
    <col min="11789" max="11789" width="8.85546875" style="64" customWidth="1"/>
    <col min="11790" max="11790" width="20.42578125" style="64" customWidth="1"/>
    <col min="11791" max="11791" width="11" style="64" bestFit="1" customWidth="1"/>
    <col min="11792" max="11792" width="12" style="64" bestFit="1" customWidth="1"/>
    <col min="11793" max="11793" width="9.140625" style="64"/>
    <col min="11794" max="11794" width="13.7109375" style="64" customWidth="1"/>
    <col min="11795" max="12032" width="9.140625" style="64"/>
    <col min="12033" max="12033" width="9.85546875" style="64" customWidth="1"/>
    <col min="12034" max="12034" width="24.5703125" style="64" customWidth="1"/>
    <col min="12035" max="12035" width="11.28515625" style="64" bestFit="1" customWidth="1"/>
    <col min="12036" max="12036" width="20.42578125" style="64" customWidth="1"/>
    <col min="12037" max="12037" width="0.7109375" style="64" customWidth="1"/>
    <col min="12038" max="12038" width="9.7109375" style="64" customWidth="1"/>
    <col min="12039" max="12039" width="16" style="64" customWidth="1"/>
    <col min="12040" max="12040" width="7.5703125" style="64" customWidth="1"/>
    <col min="12041" max="12041" width="16.5703125" style="64" customWidth="1"/>
    <col min="12042" max="12042" width="0.7109375" style="64" customWidth="1"/>
    <col min="12043" max="12043" width="10.140625" style="64" bestFit="1" customWidth="1"/>
    <col min="12044" max="12044" width="20.140625" style="64" customWidth="1"/>
    <col min="12045" max="12045" width="8.85546875" style="64" customWidth="1"/>
    <col min="12046" max="12046" width="20.42578125" style="64" customWidth="1"/>
    <col min="12047" max="12047" width="11" style="64" bestFit="1" customWidth="1"/>
    <col min="12048" max="12048" width="12" style="64" bestFit="1" customWidth="1"/>
    <col min="12049" max="12049" width="9.140625" style="64"/>
    <col min="12050" max="12050" width="13.7109375" style="64" customWidth="1"/>
    <col min="12051" max="12288" width="9.140625" style="64"/>
    <col min="12289" max="12289" width="9.85546875" style="64" customWidth="1"/>
    <col min="12290" max="12290" width="24.5703125" style="64" customWidth="1"/>
    <col min="12291" max="12291" width="11.28515625" style="64" bestFit="1" customWidth="1"/>
    <col min="12292" max="12292" width="20.42578125" style="64" customWidth="1"/>
    <col min="12293" max="12293" width="0.7109375" style="64" customWidth="1"/>
    <col min="12294" max="12294" width="9.7109375" style="64" customWidth="1"/>
    <col min="12295" max="12295" width="16" style="64" customWidth="1"/>
    <col min="12296" max="12296" width="7.5703125" style="64" customWidth="1"/>
    <col min="12297" max="12297" width="16.5703125" style="64" customWidth="1"/>
    <col min="12298" max="12298" width="0.7109375" style="64" customWidth="1"/>
    <col min="12299" max="12299" width="10.140625" style="64" bestFit="1" customWidth="1"/>
    <col min="12300" max="12300" width="20.140625" style="64" customWidth="1"/>
    <col min="12301" max="12301" width="8.85546875" style="64" customWidth="1"/>
    <col min="12302" max="12302" width="20.42578125" style="64" customWidth="1"/>
    <col min="12303" max="12303" width="11" style="64" bestFit="1" customWidth="1"/>
    <col min="12304" max="12304" width="12" style="64" bestFit="1" customWidth="1"/>
    <col min="12305" max="12305" width="9.140625" style="64"/>
    <col min="12306" max="12306" width="13.7109375" style="64" customWidth="1"/>
    <col min="12307" max="12544" width="9.140625" style="64"/>
    <col min="12545" max="12545" width="9.85546875" style="64" customWidth="1"/>
    <col min="12546" max="12546" width="24.5703125" style="64" customWidth="1"/>
    <col min="12547" max="12547" width="11.28515625" style="64" bestFit="1" customWidth="1"/>
    <col min="12548" max="12548" width="20.42578125" style="64" customWidth="1"/>
    <col min="12549" max="12549" width="0.7109375" style="64" customWidth="1"/>
    <col min="12550" max="12550" width="9.7109375" style="64" customWidth="1"/>
    <col min="12551" max="12551" width="16" style="64" customWidth="1"/>
    <col min="12552" max="12552" width="7.5703125" style="64" customWidth="1"/>
    <col min="12553" max="12553" width="16.5703125" style="64" customWidth="1"/>
    <col min="12554" max="12554" width="0.7109375" style="64" customWidth="1"/>
    <col min="12555" max="12555" width="10.140625" style="64" bestFit="1" customWidth="1"/>
    <col min="12556" max="12556" width="20.140625" style="64" customWidth="1"/>
    <col min="12557" max="12557" width="8.85546875" style="64" customWidth="1"/>
    <col min="12558" max="12558" width="20.42578125" style="64" customWidth="1"/>
    <col min="12559" max="12559" width="11" style="64" bestFit="1" customWidth="1"/>
    <col min="12560" max="12560" width="12" style="64" bestFit="1" customWidth="1"/>
    <col min="12561" max="12561" width="9.140625" style="64"/>
    <col min="12562" max="12562" width="13.7109375" style="64" customWidth="1"/>
    <col min="12563" max="12800" width="9.140625" style="64"/>
    <col min="12801" max="12801" width="9.85546875" style="64" customWidth="1"/>
    <col min="12802" max="12802" width="24.5703125" style="64" customWidth="1"/>
    <col min="12803" max="12803" width="11.28515625" style="64" bestFit="1" customWidth="1"/>
    <col min="12804" max="12804" width="20.42578125" style="64" customWidth="1"/>
    <col min="12805" max="12805" width="0.7109375" style="64" customWidth="1"/>
    <col min="12806" max="12806" width="9.7109375" style="64" customWidth="1"/>
    <col min="12807" max="12807" width="16" style="64" customWidth="1"/>
    <col min="12808" max="12808" width="7.5703125" style="64" customWidth="1"/>
    <col min="12809" max="12809" width="16.5703125" style="64" customWidth="1"/>
    <col min="12810" max="12810" width="0.7109375" style="64" customWidth="1"/>
    <col min="12811" max="12811" width="10.140625" style="64" bestFit="1" customWidth="1"/>
    <col min="12812" max="12812" width="20.140625" style="64" customWidth="1"/>
    <col min="12813" max="12813" width="8.85546875" style="64" customWidth="1"/>
    <col min="12814" max="12814" width="20.42578125" style="64" customWidth="1"/>
    <col min="12815" max="12815" width="11" style="64" bestFit="1" customWidth="1"/>
    <col min="12816" max="12816" width="12" style="64" bestFit="1" customWidth="1"/>
    <col min="12817" max="12817" width="9.140625" style="64"/>
    <col min="12818" max="12818" width="13.7109375" style="64" customWidth="1"/>
    <col min="12819" max="13056" width="9.140625" style="64"/>
    <col min="13057" max="13057" width="9.85546875" style="64" customWidth="1"/>
    <col min="13058" max="13058" width="24.5703125" style="64" customWidth="1"/>
    <col min="13059" max="13059" width="11.28515625" style="64" bestFit="1" customWidth="1"/>
    <col min="13060" max="13060" width="20.42578125" style="64" customWidth="1"/>
    <col min="13061" max="13061" width="0.7109375" style="64" customWidth="1"/>
    <col min="13062" max="13062" width="9.7109375" style="64" customWidth="1"/>
    <col min="13063" max="13063" width="16" style="64" customWidth="1"/>
    <col min="13064" max="13064" width="7.5703125" style="64" customWidth="1"/>
    <col min="13065" max="13065" width="16.5703125" style="64" customWidth="1"/>
    <col min="13066" max="13066" width="0.7109375" style="64" customWidth="1"/>
    <col min="13067" max="13067" width="10.140625" style="64" bestFit="1" customWidth="1"/>
    <col min="13068" max="13068" width="20.140625" style="64" customWidth="1"/>
    <col min="13069" max="13069" width="8.85546875" style="64" customWidth="1"/>
    <col min="13070" max="13070" width="20.42578125" style="64" customWidth="1"/>
    <col min="13071" max="13071" width="11" style="64" bestFit="1" customWidth="1"/>
    <col min="13072" max="13072" width="12" style="64" bestFit="1" customWidth="1"/>
    <col min="13073" max="13073" width="9.140625" style="64"/>
    <col min="13074" max="13074" width="13.7109375" style="64" customWidth="1"/>
    <col min="13075" max="13312" width="9.140625" style="64"/>
    <col min="13313" max="13313" width="9.85546875" style="64" customWidth="1"/>
    <col min="13314" max="13314" width="24.5703125" style="64" customWidth="1"/>
    <col min="13315" max="13315" width="11.28515625" style="64" bestFit="1" customWidth="1"/>
    <col min="13316" max="13316" width="20.42578125" style="64" customWidth="1"/>
    <col min="13317" max="13317" width="0.7109375" style="64" customWidth="1"/>
    <col min="13318" max="13318" width="9.7109375" style="64" customWidth="1"/>
    <col min="13319" max="13319" width="16" style="64" customWidth="1"/>
    <col min="13320" max="13320" width="7.5703125" style="64" customWidth="1"/>
    <col min="13321" max="13321" width="16.5703125" style="64" customWidth="1"/>
    <col min="13322" max="13322" width="0.7109375" style="64" customWidth="1"/>
    <col min="13323" max="13323" width="10.140625" style="64" bestFit="1" customWidth="1"/>
    <col min="13324" max="13324" width="20.140625" style="64" customWidth="1"/>
    <col min="13325" max="13325" width="8.85546875" style="64" customWidth="1"/>
    <col min="13326" max="13326" width="20.42578125" style="64" customWidth="1"/>
    <col min="13327" max="13327" width="11" style="64" bestFit="1" customWidth="1"/>
    <col min="13328" max="13328" width="12" style="64" bestFit="1" customWidth="1"/>
    <col min="13329" max="13329" width="9.140625" style="64"/>
    <col min="13330" max="13330" width="13.7109375" style="64" customWidth="1"/>
    <col min="13331" max="13568" width="9.140625" style="64"/>
    <col min="13569" max="13569" width="9.85546875" style="64" customWidth="1"/>
    <col min="13570" max="13570" width="24.5703125" style="64" customWidth="1"/>
    <col min="13571" max="13571" width="11.28515625" style="64" bestFit="1" customWidth="1"/>
    <col min="13572" max="13572" width="20.42578125" style="64" customWidth="1"/>
    <col min="13573" max="13573" width="0.7109375" style="64" customWidth="1"/>
    <col min="13574" max="13574" width="9.7109375" style="64" customWidth="1"/>
    <col min="13575" max="13575" width="16" style="64" customWidth="1"/>
    <col min="13576" max="13576" width="7.5703125" style="64" customWidth="1"/>
    <col min="13577" max="13577" width="16.5703125" style="64" customWidth="1"/>
    <col min="13578" max="13578" width="0.7109375" style="64" customWidth="1"/>
    <col min="13579" max="13579" width="10.140625" style="64" bestFit="1" customWidth="1"/>
    <col min="13580" max="13580" width="20.140625" style="64" customWidth="1"/>
    <col min="13581" max="13581" width="8.85546875" style="64" customWidth="1"/>
    <col min="13582" max="13582" width="20.42578125" style="64" customWidth="1"/>
    <col min="13583" max="13583" width="11" style="64" bestFit="1" customWidth="1"/>
    <col min="13584" max="13584" width="12" style="64" bestFit="1" customWidth="1"/>
    <col min="13585" max="13585" width="9.140625" style="64"/>
    <col min="13586" max="13586" width="13.7109375" style="64" customWidth="1"/>
    <col min="13587" max="13824" width="9.140625" style="64"/>
    <col min="13825" max="13825" width="9.85546875" style="64" customWidth="1"/>
    <col min="13826" max="13826" width="24.5703125" style="64" customWidth="1"/>
    <col min="13827" max="13827" width="11.28515625" style="64" bestFit="1" customWidth="1"/>
    <col min="13828" max="13828" width="20.42578125" style="64" customWidth="1"/>
    <col min="13829" max="13829" width="0.7109375" style="64" customWidth="1"/>
    <col min="13830" max="13830" width="9.7109375" style="64" customWidth="1"/>
    <col min="13831" max="13831" width="16" style="64" customWidth="1"/>
    <col min="13832" max="13832" width="7.5703125" style="64" customWidth="1"/>
    <col min="13833" max="13833" width="16.5703125" style="64" customWidth="1"/>
    <col min="13834" max="13834" width="0.7109375" style="64" customWidth="1"/>
    <col min="13835" max="13835" width="10.140625" style="64" bestFit="1" customWidth="1"/>
    <col min="13836" max="13836" width="20.140625" style="64" customWidth="1"/>
    <col min="13837" max="13837" width="8.85546875" style="64" customWidth="1"/>
    <col min="13838" max="13838" width="20.42578125" style="64" customWidth="1"/>
    <col min="13839" max="13839" width="11" style="64" bestFit="1" customWidth="1"/>
    <col min="13840" max="13840" width="12" style="64" bestFit="1" customWidth="1"/>
    <col min="13841" max="13841" width="9.140625" style="64"/>
    <col min="13842" max="13842" width="13.7109375" style="64" customWidth="1"/>
    <col min="13843" max="14080" width="9.140625" style="64"/>
    <col min="14081" max="14081" width="9.85546875" style="64" customWidth="1"/>
    <col min="14082" max="14082" width="24.5703125" style="64" customWidth="1"/>
    <col min="14083" max="14083" width="11.28515625" style="64" bestFit="1" customWidth="1"/>
    <col min="14084" max="14084" width="20.42578125" style="64" customWidth="1"/>
    <col min="14085" max="14085" width="0.7109375" style="64" customWidth="1"/>
    <col min="14086" max="14086" width="9.7109375" style="64" customWidth="1"/>
    <col min="14087" max="14087" width="16" style="64" customWidth="1"/>
    <col min="14088" max="14088" width="7.5703125" style="64" customWidth="1"/>
    <col min="14089" max="14089" width="16.5703125" style="64" customWidth="1"/>
    <col min="14090" max="14090" width="0.7109375" style="64" customWidth="1"/>
    <col min="14091" max="14091" width="10.140625" style="64" bestFit="1" customWidth="1"/>
    <col min="14092" max="14092" width="20.140625" style="64" customWidth="1"/>
    <col min="14093" max="14093" width="8.85546875" style="64" customWidth="1"/>
    <col min="14094" max="14094" width="20.42578125" style="64" customWidth="1"/>
    <col min="14095" max="14095" width="11" style="64" bestFit="1" customWidth="1"/>
    <col min="14096" max="14096" width="12" style="64" bestFit="1" customWidth="1"/>
    <col min="14097" max="14097" width="9.140625" style="64"/>
    <col min="14098" max="14098" width="13.7109375" style="64" customWidth="1"/>
    <col min="14099" max="14336" width="9.140625" style="64"/>
    <col min="14337" max="14337" width="9.85546875" style="64" customWidth="1"/>
    <col min="14338" max="14338" width="24.5703125" style="64" customWidth="1"/>
    <col min="14339" max="14339" width="11.28515625" style="64" bestFit="1" customWidth="1"/>
    <col min="14340" max="14340" width="20.42578125" style="64" customWidth="1"/>
    <col min="14341" max="14341" width="0.7109375" style="64" customWidth="1"/>
    <col min="14342" max="14342" width="9.7109375" style="64" customWidth="1"/>
    <col min="14343" max="14343" width="16" style="64" customWidth="1"/>
    <col min="14344" max="14344" width="7.5703125" style="64" customWidth="1"/>
    <col min="14345" max="14345" width="16.5703125" style="64" customWidth="1"/>
    <col min="14346" max="14346" width="0.7109375" style="64" customWidth="1"/>
    <col min="14347" max="14347" width="10.140625" style="64" bestFit="1" customWidth="1"/>
    <col min="14348" max="14348" width="20.140625" style="64" customWidth="1"/>
    <col min="14349" max="14349" width="8.85546875" style="64" customWidth="1"/>
    <col min="14350" max="14350" width="20.42578125" style="64" customWidth="1"/>
    <col min="14351" max="14351" width="11" style="64" bestFit="1" customWidth="1"/>
    <col min="14352" max="14352" width="12" style="64" bestFit="1" customWidth="1"/>
    <col min="14353" max="14353" width="9.140625" style="64"/>
    <col min="14354" max="14354" width="13.7109375" style="64" customWidth="1"/>
    <col min="14355" max="14592" width="9.140625" style="64"/>
    <col min="14593" max="14593" width="9.85546875" style="64" customWidth="1"/>
    <col min="14594" max="14594" width="24.5703125" style="64" customWidth="1"/>
    <col min="14595" max="14595" width="11.28515625" style="64" bestFit="1" customWidth="1"/>
    <col min="14596" max="14596" width="20.42578125" style="64" customWidth="1"/>
    <col min="14597" max="14597" width="0.7109375" style="64" customWidth="1"/>
    <col min="14598" max="14598" width="9.7109375" style="64" customWidth="1"/>
    <col min="14599" max="14599" width="16" style="64" customWidth="1"/>
    <col min="14600" max="14600" width="7.5703125" style="64" customWidth="1"/>
    <col min="14601" max="14601" width="16.5703125" style="64" customWidth="1"/>
    <col min="14602" max="14602" width="0.7109375" style="64" customWidth="1"/>
    <col min="14603" max="14603" width="10.140625" style="64" bestFit="1" customWidth="1"/>
    <col min="14604" max="14604" width="20.140625" style="64" customWidth="1"/>
    <col min="14605" max="14605" width="8.85546875" style="64" customWidth="1"/>
    <col min="14606" max="14606" width="20.42578125" style="64" customWidth="1"/>
    <col min="14607" max="14607" width="11" style="64" bestFit="1" customWidth="1"/>
    <col min="14608" max="14608" width="12" style="64" bestFit="1" customWidth="1"/>
    <col min="14609" max="14609" width="9.140625" style="64"/>
    <col min="14610" max="14610" width="13.7109375" style="64" customWidth="1"/>
    <col min="14611" max="14848" width="9.140625" style="64"/>
    <col min="14849" max="14849" width="9.85546875" style="64" customWidth="1"/>
    <col min="14850" max="14850" width="24.5703125" style="64" customWidth="1"/>
    <col min="14851" max="14851" width="11.28515625" style="64" bestFit="1" customWidth="1"/>
    <col min="14852" max="14852" width="20.42578125" style="64" customWidth="1"/>
    <col min="14853" max="14853" width="0.7109375" style="64" customWidth="1"/>
    <col min="14854" max="14854" width="9.7109375" style="64" customWidth="1"/>
    <col min="14855" max="14855" width="16" style="64" customWidth="1"/>
    <col min="14856" max="14856" width="7.5703125" style="64" customWidth="1"/>
    <col min="14857" max="14857" width="16.5703125" style="64" customWidth="1"/>
    <col min="14858" max="14858" width="0.7109375" style="64" customWidth="1"/>
    <col min="14859" max="14859" width="10.140625" style="64" bestFit="1" customWidth="1"/>
    <col min="14860" max="14860" width="20.140625" style="64" customWidth="1"/>
    <col min="14861" max="14861" width="8.85546875" style="64" customWidth="1"/>
    <col min="14862" max="14862" width="20.42578125" style="64" customWidth="1"/>
    <col min="14863" max="14863" width="11" style="64" bestFit="1" customWidth="1"/>
    <col min="14864" max="14864" width="12" style="64" bestFit="1" customWidth="1"/>
    <col min="14865" max="14865" width="9.140625" style="64"/>
    <col min="14866" max="14866" width="13.7109375" style="64" customWidth="1"/>
    <col min="14867" max="15104" width="9.140625" style="64"/>
    <col min="15105" max="15105" width="9.85546875" style="64" customWidth="1"/>
    <col min="15106" max="15106" width="24.5703125" style="64" customWidth="1"/>
    <col min="15107" max="15107" width="11.28515625" style="64" bestFit="1" customWidth="1"/>
    <col min="15108" max="15108" width="20.42578125" style="64" customWidth="1"/>
    <col min="15109" max="15109" width="0.7109375" style="64" customWidth="1"/>
    <col min="15110" max="15110" width="9.7109375" style="64" customWidth="1"/>
    <col min="15111" max="15111" width="16" style="64" customWidth="1"/>
    <col min="15112" max="15112" width="7.5703125" style="64" customWidth="1"/>
    <col min="15113" max="15113" width="16.5703125" style="64" customWidth="1"/>
    <col min="15114" max="15114" width="0.7109375" style="64" customWidth="1"/>
    <col min="15115" max="15115" width="10.140625" style="64" bestFit="1" customWidth="1"/>
    <col min="15116" max="15116" width="20.140625" style="64" customWidth="1"/>
    <col min="15117" max="15117" width="8.85546875" style="64" customWidth="1"/>
    <col min="15118" max="15118" width="20.42578125" style="64" customWidth="1"/>
    <col min="15119" max="15119" width="11" style="64" bestFit="1" customWidth="1"/>
    <col min="15120" max="15120" width="12" style="64" bestFit="1" customWidth="1"/>
    <col min="15121" max="15121" width="9.140625" style="64"/>
    <col min="15122" max="15122" width="13.7109375" style="64" customWidth="1"/>
    <col min="15123" max="15360" width="9.140625" style="64"/>
    <col min="15361" max="15361" width="9.85546875" style="64" customWidth="1"/>
    <col min="15362" max="15362" width="24.5703125" style="64" customWidth="1"/>
    <col min="15363" max="15363" width="11.28515625" style="64" bestFit="1" customWidth="1"/>
    <col min="15364" max="15364" width="20.42578125" style="64" customWidth="1"/>
    <col min="15365" max="15365" width="0.7109375" style="64" customWidth="1"/>
    <col min="15366" max="15366" width="9.7109375" style="64" customWidth="1"/>
    <col min="15367" max="15367" width="16" style="64" customWidth="1"/>
    <col min="15368" max="15368" width="7.5703125" style="64" customWidth="1"/>
    <col min="15369" max="15369" width="16.5703125" style="64" customWidth="1"/>
    <col min="15370" max="15370" width="0.7109375" style="64" customWidth="1"/>
    <col min="15371" max="15371" width="10.140625" style="64" bestFit="1" customWidth="1"/>
    <col min="15372" max="15372" width="20.140625" style="64" customWidth="1"/>
    <col min="15373" max="15373" width="8.85546875" style="64" customWidth="1"/>
    <col min="15374" max="15374" width="20.42578125" style="64" customWidth="1"/>
    <col min="15375" max="15375" width="11" style="64" bestFit="1" customWidth="1"/>
    <col min="15376" max="15376" width="12" style="64" bestFit="1" customWidth="1"/>
    <col min="15377" max="15377" width="9.140625" style="64"/>
    <col min="15378" max="15378" width="13.7109375" style="64" customWidth="1"/>
    <col min="15379" max="15616" width="9.140625" style="64"/>
    <col min="15617" max="15617" width="9.85546875" style="64" customWidth="1"/>
    <col min="15618" max="15618" width="24.5703125" style="64" customWidth="1"/>
    <col min="15619" max="15619" width="11.28515625" style="64" bestFit="1" customWidth="1"/>
    <col min="15620" max="15620" width="20.42578125" style="64" customWidth="1"/>
    <col min="15621" max="15621" width="0.7109375" style="64" customWidth="1"/>
    <col min="15622" max="15622" width="9.7109375" style="64" customWidth="1"/>
    <col min="15623" max="15623" width="16" style="64" customWidth="1"/>
    <col min="15624" max="15624" width="7.5703125" style="64" customWidth="1"/>
    <col min="15625" max="15625" width="16.5703125" style="64" customWidth="1"/>
    <col min="15626" max="15626" width="0.7109375" style="64" customWidth="1"/>
    <col min="15627" max="15627" width="10.140625" style="64" bestFit="1" customWidth="1"/>
    <col min="15628" max="15628" width="20.140625" style="64" customWidth="1"/>
    <col min="15629" max="15629" width="8.85546875" style="64" customWidth="1"/>
    <col min="15630" max="15630" width="20.42578125" style="64" customWidth="1"/>
    <col min="15631" max="15631" width="11" style="64" bestFit="1" customWidth="1"/>
    <col min="15632" max="15632" width="12" style="64" bestFit="1" customWidth="1"/>
    <col min="15633" max="15633" width="9.140625" style="64"/>
    <col min="15634" max="15634" width="13.7109375" style="64" customWidth="1"/>
    <col min="15635" max="15872" width="9.140625" style="64"/>
    <col min="15873" max="15873" width="9.85546875" style="64" customWidth="1"/>
    <col min="15874" max="15874" width="24.5703125" style="64" customWidth="1"/>
    <col min="15875" max="15875" width="11.28515625" style="64" bestFit="1" customWidth="1"/>
    <col min="15876" max="15876" width="20.42578125" style="64" customWidth="1"/>
    <col min="15877" max="15877" width="0.7109375" style="64" customWidth="1"/>
    <col min="15878" max="15878" width="9.7109375" style="64" customWidth="1"/>
    <col min="15879" max="15879" width="16" style="64" customWidth="1"/>
    <col min="15880" max="15880" width="7.5703125" style="64" customWidth="1"/>
    <col min="15881" max="15881" width="16.5703125" style="64" customWidth="1"/>
    <col min="15882" max="15882" width="0.7109375" style="64" customWidth="1"/>
    <col min="15883" max="15883" width="10.140625" style="64" bestFit="1" customWidth="1"/>
    <col min="15884" max="15884" width="20.140625" style="64" customWidth="1"/>
    <col min="15885" max="15885" width="8.85546875" style="64" customWidth="1"/>
    <col min="15886" max="15886" width="20.42578125" style="64" customWidth="1"/>
    <col min="15887" max="15887" width="11" style="64" bestFit="1" customWidth="1"/>
    <col min="15888" max="15888" width="12" style="64" bestFit="1" customWidth="1"/>
    <col min="15889" max="15889" width="9.140625" style="64"/>
    <col min="15890" max="15890" width="13.7109375" style="64" customWidth="1"/>
    <col min="15891" max="16128" width="9.140625" style="64"/>
    <col min="16129" max="16129" width="9.85546875" style="64" customWidth="1"/>
    <col min="16130" max="16130" width="24.5703125" style="64" customWidth="1"/>
    <col min="16131" max="16131" width="11.28515625" style="64" bestFit="1" customWidth="1"/>
    <col min="16132" max="16132" width="20.42578125" style="64" customWidth="1"/>
    <col min="16133" max="16133" width="0.7109375" style="64" customWidth="1"/>
    <col min="16134" max="16134" width="9.7109375" style="64" customWidth="1"/>
    <col min="16135" max="16135" width="16" style="64" customWidth="1"/>
    <col min="16136" max="16136" width="7.5703125" style="64" customWidth="1"/>
    <col min="16137" max="16137" width="16.5703125" style="64" customWidth="1"/>
    <col min="16138" max="16138" width="0.7109375" style="64" customWidth="1"/>
    <col min="16139" max="16139" width="10.140625" style="64" bestFit="1" customWidth="1"/>
    <col min="16140" max="16140" width="20.140625" style="64" customWidth="1"/>
    <col min="16141" max="16141" width="8.85546875" style="64" customWidth="1"/>
    <col min="16142" max="16142" width="20.42578125" style="64" customWidth="1"/>
    <col min="16143" max="16143" width="11" style="64" bestFit="1" customWidth="1"/>
    <col min="16144" max="16144" width="12" style="64" bestFit="1" customWidth="1"/>
    <col min="16145" max="16145" width="9.140625" style="64"/>
    <col min="16146" max="16146" width="13.7109375" style="64" customWidth="1"/>
    <col min="16147" max="16384" width="9.140625" style="64"/>
  </cols>
  <sheetData>
    <row r="1" spans="1:14" ht="14.25">
      <c r="A1" s="1080" t="s">
        <v>1046</v>
      </c>
      <c r="B1" s="1080"/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  <c r="N1" s="1080"/>
    </row>
    <row r="2" spans="1:14" ht="26.25" customHeight="1" thickBot="1">
      <c r="A2" s="1081" t="s">
        <v>1113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1081"/>
      <c r="N2" s="1081"/>
    </row>
    <row r="3" spans="1:14" ht="21.75" customHeight="1" thickBot="1">
      <c r="A3" s="1082" t="s">
        <v>1047</v>
      </c>
      <c r="B3" s="1079"/>
      <c r="C3" s="1079"/>
      <c r="D3" s="1083"/>
      <c r="E3" s="65"/>
      <c r="F3" s="1084" t="s">
        <v>1048</v>
      </c>
      <c r="G3" s="1085"/>
      <c r="H3" s="1085"/>
      <c r="I3" s="1086"/>
      <c r="J3" s="65"/>
      <c r="K3" s="1082" t="s">
        <v>1049</v>
      </c>
      <c r="L3" s="1079"/>
      <c r="M3" s="1079"/>
      <c r="N3" s="1083"/>
    </row>
    <row r="4" spans="1:14" ht="19.5" customHeight="1">
      <c r="A4" s="66" t="s">
        <v>1050</v>
      </c>
      <c r="B4" s="67" t="s">
        <v>1051</v>
      </c>
      <c r="C4" s="67" t="s">
        <v>1052</v>
      </c>
      <c r="D4" s="68" t="s">
        <v>1053</v>
      </c>
      <c r="E4" s="69"/>
      <c r="F4" s="66" t="s">
        <v>1050</v>
      </c>
      <c r="G4" s="67" t="s">
        <v>1051</v>
      </c>
      <c r="H4" s="67" t="s">
        <v>1052</v>
      </c>
      <c r="I4" s="68" t="s">
        <v>1054</v>
      </c>
      <c r="J4" s="70"/>
      <c r="K4" s="66" t="s">
        <v>1050</v>
      </c>
      <c r="L4" s="67" t="s">
        <v>1051</v>
      </c>
      <c r="M4" s="67" t="s">
        <v>1052</v>
      </c>
      <c r="N4" s="68" t="s">
        <v>1054</v>
      </c>
    </row>
    <row r="5" spans="1:14" ht="20.100000000000001" customHeight="1">
      <c r="A5" s="71">
        <v>44655</v>
      </c>
      <c r="B5" s="234">
        <v>2600682748</v>
      </c>
      <c r="C5" s="73">
        <v>6.9256000000000002</v>
      </c>
      <c r="D5" s="324">
        <f>B5*C5</f>
        <v>18011288439.548801</v>
      </c>
      <c r="E5" s="75"/>
      <c r="F5" s="71">
        <v>43925</v>
      </c>
      <c r="G5" s="76">
        <v>0</v>
      </c>
      <c r="H5" s="76">
        <v>0</v>
      </c>
      <c r="I5" s="77">
        <v>0</v>
      </c>
      <c r="J5" s="78"/>
      <c r="K5" s="71">
        <v>43925</v>
      </c>
      <c r="L5" s="79">
        <f>+B5-G5</f>
        <v>2600682748</v>
      </c>
      <c r="M5" s="80">
        <f t="shared" ref="M5:M21" si="0">N5/L5</f>
        <v>6.9256000000000002</v>
      </c>
      <c r="N5" s="74">
        <f>+D5-I5</f>
        <v>18011288439.548801</v>
      </c>
    </row>
    <row r="6" spans="1:14" ht="20.100000000000001" customHeight="1">
      <c r="A6" s="71">
        <v>44685</v>
      </c>
      <c r="B6" s="234">
        <v>2574076593</v>
      </c>
      <c r="C6" s="73">
        <v>6.9256000000000002</v>
      </c>
      <c r="D6" s="324">
        <f>B6*C6</f>
        <v>17827024852.480801</v>
      </c>
      <c r="E6" s="81"/>
      <c r="F6" s="71">
        <v>43955</v>
      </c>
      <c r="G6" s="76">
        <v>0</v>
      </c>
      <c r="H6" s="76">
        <v>0</v>
      </c>
      <c r="I6" s="77">
        <v>0</v>
      </c>
      <c r="J6" s="78"/>
      <c r="K6" s="71">
        <v>43955</v>
      </c>
      <c r="L6" s="79">
        <f>+B6-G6</f>
        <v>2574076593</v>
      </c>
      <c r="M6" s="80">
        <f t="shared" si="0"/>
        <v>6.9256000000000002</v>
      </c>
      <c r="N6" s="74">
        <f t="shared" ref="N6:N18" si="1">+D6-I6</f>
        <v>17827024852.480801</v>
      </c>
    </row>
    <row r="7" spans="1:14" ht="20.100000000000001" customHeight="1" thickBot="1">
      <c r="A7" s="71">
        <v>44716</v>
      </c>
      <c r="B7" s="234">
        <v>2466136505</v>
      </c>
      <c r="C7" s="73">
        <v>6.9256000000000002</v>
      </c>
      <c r="D7" s="324">
        <f>B7*C7</f>
        <v>17079474979.028</v>
      </c>
      <c r="E7" s="83"/>
      <c r="F7" s="82">
        <v>43986</v>
      </c>
      <c r="G7" s="84">
        <v>0</v>
      </c>
      <c r="H7" s="84">
        <v>0</v>
      </c>
      <c r="I7" s="85">
        <v>0</v>
      </c>
      <c r="J7" s="86"/>
      <c r="K7" s="82">
        <v>43986</v>
      </c>
      <c r="L7" s="87">
        <f>+B7-G7</f>
        <v>2466136505</v>
      </c>
      <c r="M7" s="88">
        <f t="shared" si="0"/>
        <v>6.9256000000000002</v>
      </c>
      <c r="N7" s="89">
        <f t="shared" si="1"/>
        <v>17079474979.028</v>
      </c>
    </row>
    <row r="8" spans="1:14" ht="20.100000000000001" customHeight="1" thickBot="1">
      <c r="A8" s="90"/>
      <c r="B8" s="91">
        <f>SUM(B5:B7)</f>
        <v>7640895846</v>
      </c>
      <c r="C8" s="73">
        <v>6.9256000000000002</v>
      </c>
      <c r="D8" s="91">
        <f>SUM(D5:D7)</f>
        <v>52917788271.057602</v>
      </c>
      <c r="E8" s="94"/>
      <c r="F8" s="90"/>
      <c r="G8" s="95">
        <f>SUM(G5:G7)</f>
        <v>0</v>
      </c>
      <c r="H8" s="95">
        <f>SUM(H5:H7)</f>
        <v>0</v>
      </c>
      <c r="I8" s="95">
        <f>SUM(I5:I7)</f>
        <v>0</v>
      </c>
      <c r="J8" s="96"/>
      <c r="K8" s="90"/>
      <c r="L8" s="91">
        <f>SUM(L5:L7)</f>
        <v>7640895846</v>
      </c>
      <c r="M8" s="97"/>
      <c r="N8" s="93">
        <f>SUM(N5:N7)</f>
        <v>52917788271.057602</v>
      </c>
    </row>
    <row r="9" spans="1:14" ht="20.100000000000001" customHeight="1">
      <c r="A9" s="98">
        <v>44746</v>
      </c>
      <c r="B9" s="283">
        <v>2522419042</v>
      </c>
      <c r="C9" s="73">
        <v>6.8075999999999999</v>
      </c>
      <c r="D9" s="79">
        <f>B9*C9</f>
        <v>17171619870.319201</v>
      </c>
      <c r="E9" s="99"/>
      <c r="F9" s="98">
        <v>44016</v>
      </c>
      <c r="G9" s="100">
        <v>0</v>
      </c>
      <c r="H9" s="100">
        <v>0</v>
      </c>
      <c r="I9" s="101">
        <v>0</v>
      </c>
      <c r="J9" s="102"/>
      <c r="K9" s="98">
        <v>44016</v>
      </c>
      <c r="L9" s="103">
        <f>+B9-G9</f>
        <v>2522419042</v>
      </c>
      <c r="M9" s="104">
        <f t="shared" si="0"/>
        <v>6.8075999999999999</v>
      </c>
      <c r="N9" s="105">
        <f t="shared" si="1"/>
        <v>17171619870.319201</v>
      </c>
    </row>
    <row r="10" spans="1:14" ht="20.100000000000001" customHeight="1">
      <c r="A10" s="98">
        <v>44777</v>
      </c>
      <c r="B10" s="283">
        <v>2577305970</v>
      </c>
      <c r="C10" s="73">
        <v>6.8075999999999999</v>
      </c>
      <c r="D10" s="79">
        <f>B10*C10</f>
        <v>17545268121.371998</v>
      </c>
      <c r="E10" s="81"/>
      <c r="F10" s="98">
        <v>44047</v>
      </c>
      <c r="G10" s="76"/>
      <c r="H10" s="76"/>
      <c r="I10" s="77"/>
      <c r="J10" s="78"/>
      <c r="K10" s="98">
        <v>44047</v>
      </c>
      <c r="L10" s="103">
        <f>+B10-G10</f>
        <v>2577305970</v>
      </c>
      <c r="M10" s="80">
        <f t="shared" si="0"/>
        <v>6.807599999999999</v>
      </c>
      <c r="N10" s="74">
        <f t="shared" si="1"/>
        <v>17545268121.371998</v>
      </c>
    </row>
    <row r="11" spans="1:14" ht="20.100000000000001" customHeight="1" thickBot="1">
      <c r="A11" s="98">
        <v>44808</v>
      </c>
      <c r="B11" s="283">
        <v>2560082576</v>
      </c>
      <c r="C11" s="73">
        <v>6.8075999999999999</v>
      </c>
      <c r="D11" s="79">
        <f>B11*C11</f>
        <v>17428018144.377598</v>
      </c>
      <c r="E11" s="83"/>
      <c r="F11" s="98">
        <v>44078</v>
      </c>
      <c r="G11" s="84"/>
      <c r="H11" s="84"/>
      <c r="I11" s="85"/>
      <c r="J11" s="86"/>
      <c r="K11" s="98">
        <v>44078</v>
      </c>
      <c r="L11" s="87">
        <f>+B11-G11</f>
        <v>2560082576</v>
      </c>
      <c r="M11" s="88">
        <f t="shared" si="0"/>
        <v>6.807599999999999</v>
      </c>
      <c r="N11" s="89">
        <f t="shared" si="1"/>
        <v>17428018144.377598</v>
      </c>
    </row>
    <row r="12" spans="1:14" ht="20.100000000000001" customHeight="1" thickBot="1">
      <c r="A12" s="90"/>
      <c r="B12" s="91">
        <f>SUM(B9:B11)</f>
        <v>7659807588</v>
      </c>
      <c r="C12" s="92"/>
      <c r="D12" s="91">
        <f>SUM(D9:D11)</f>
        <v>52144906136.068802</v>
      </c>
      <c r="E12" s="94"/>
      <c r="F12" s="90"/>
      <c r="G12" s="106">
        <f>SUM(G9:G11)</f>
        <v>0</v>
      </c>
      <c r="H12" s="106"/>
      <c r="I12" s="106">
        <f>SUM(I9:I11)</f>
        <v>0</v>
      </c>
      <c r="J12" s="96"/>
      <c r="K12" s="90"/>
      <c r="L12" s="107">
        <f>SUM(L9:L11)</f>
        <v>7659807588</v>
      </c>
      <c r="M12" s="97"/>
      <c r="N12" s="108">
        <f>SUM(N9:N11)</f>
        <v>52144906136.068802</v>
      </c>
    </row>
    <row r="13" spans="1:14" ht="20.100000000000001" customHeight="1" thickBot="1">
      <c r="A13" s="98">
        <v>44838</v>
      </c>
      <c r="B13" s="72">
        <v>2348778575</v>
      </c>
      <c r="C13" s="73">
        <v>7.0183</v>
      </c>
      <c r="D13" s="79">
        <f>B13*C13</f>
        <v>16484432672.922501</v>
      </c>
      <c r="E13" s="99"/>
      <c r="F13" s="98">
        <v>44108</v>
      </c>
      <c r="G13" s="100">
        <v>0</v>
      </c>
      <c r="H13" s="100">
        <v>0</v>
      </c>
      <c r="I13" s="101">
        <v>0</v>
      </c>
      <c r="J13" s="102"/>
      <c r="K13" s="98">
        <v>44108</v>
      </c>
      <c r="L13" s="110">
        <f>+B13-G13</f>
        <v>2348778575</v>
      </c>
      <c r="M13" s="111">
        <f t="shared" si="0"/>
        <v>7.0183</v>
      </c>
      <c r="N13" s="101">
        <f t="shared" si="1"/>
        <v>16484432672.922501</v>
      </c>
    </row>
    <row r="14" spans="1:14" ht="20.100000000000001" customHeight="1" thickBot="1">
      <c r="A14" s="98">
        <v>44869</v>
      </c>
      <c r="B14" s="72">
        <v>2408111097</v>
      </c>
      <c r="C14" s="73">
        <v>7.0183</v>
      </c>
      <c r="D14" s="79">
        <f>B14*C14</f>
        <v>16900846112.0751</v>
      </c>
      <c r="E14" s="81"/>
      <c r="F14" s="98">
        <v>44139</v>
      </c>
      <c r="G14" s="76">
        <v>0</v>
      </c>
      <c r="H14" s="76">
        <v>0</v>
      </c>
      <c r="I14" s="77">
        <v>0</v>
      </c>
      <c r="J14" s="78"/>
      <c r="K14" s="98">
        <v>44139</v>
      </c>
      <c r="L14" s="112">
        <f>+B14-G14</f>
        <v>2408111097</v>
      </c>
      <c r="M14" s="113">
        <f t="shared" si="0"/>
        <v>7.0183</v>
      </c>
      <c r="N14" s="77">
        <f t="shared" si="1"/>
        <v>16900846112.0751</v>
      </c>
    </row>
    <row r="15" spans="1:14" ht="20.100000000000001" customHeight="1" thickBot="1">
      <c r="A15" s="98">
        <v>44899</v>
      </c>
      <c r="B15" s="72">
        <v>2486502216</v>
      </c>
      <c r="C15" s="73">
        <v>7.0183</v>
      </c>
      <c r="D15" s="79">
        <f>B15*C15</f>
        <v>17451018502.552799</v>
      </c>
      <c r="E15" s="83"/>
      <c r="F15" s="98">
        <v>44166</v>
      </c>
      <c r="G15" s="84">
        <v>0</v>
      </c>
      <c r="H15" s="84">
        <v>0</v>
      </c>
      <c r="I15" s="85">
        <v>0</v>
      </c>
      <c r="J15" s="86"/>
      <c r="K15" s="98">
        <v>44166</v>
      </c>
      <c r="L15" s="114">
        <f>+B15-G15</f>
        <v>2486502216</v>
      </c>
      <c r="M15" s="115">
        <f t="shared" si="0"/>
        <v>7.0183</v>
      </c>
      <c r="N15" s="85">
        <f t="shared" si="1"/>
        <v>17451018502.552799</v>
      </c>
    </row>
    <row r="16" spans="1:14" ht="20.100000000000001" customHeight="1" thickBot="1">
      <c r="A16" s="90"/>
      <c r="B16" s="116">
        <f>SUM(B13:B15)</f>
        <v>7243391888</v>
      </c>
      <c r="C16" s="117"/>
      <c r="D16" s="116">
        <f>SUM(D13:D15)</f>
        <v>50836297287.5504</v>
      </c>
      <c r="E16" s="118">
        <f t="shared" ref="E16:J16" si="2">SUM(E13:E15)</f>
        <v>0</v>
      </c>
      <c r="F16" s="90"/>
      <c r="G16" s="106">
        <f t="shared" si="2"/>
        <v>0</v>
      </c>
      <c r="H16" s="106">
        <f t="shared" si="2"/>
        <v>0</v>
      </c>
      <c r="I16" s="106">
        <f t="shared" si="2"/>
        <v>0</v>
      </c>
      <c r="J16" s="118">
        <f t="shared" si="2"/>
        <v>0</v>
      </c>
      <c r="K16" s="90"/>
      <c r="L16" s="116">
        <f>SUM(L13:L15)</f>
        <v>7243391888</v>
      </c>
      <c r="M16" s="118"/>
      <c r="N16" s="119">
        <f>+D16</f>
        <v>50836297287.5504</v>
      </c>
    </row>
    <row r="17" spans="1:14" ht="20.100000000000001" customHeight="1" thickBot="1">
      <c r="A17" s="98">
        <v>44930</v>
      </c>
      <c r="B17" s="72"/>
      <c r="C17" s="109"/>
      <c r="D17" s="77">
        <f>B17*C17</f>
        <v>0</v>
      </c>
      <c r="E17" s="99"/>
      <c r="F17" s="98">
        <v>44200</v>
      </c>
      <c r="G17" s="100">
        <v>0</v>
      </c>
      <c r="H17" s="100">
        <v>0</v>
      </c>
      <c r="I17" s="101">
        <v>0</v>
      </c>
      <c r="J17" s="102"/>
      <c r="K17" s="98">
        <v>44200</v>
      </c>
      <c r="L17" s="110">
        <f>+B17-G17</f>
        <v>0</v>
      </c>
      <c r="M17" s="111" t="e">
        <f t="shared" si="0"/>
        <v>#DIV/0!</v>
      </c>
      <c r="N17" s="101">
        <f t="shared" si="1"/>
        <v>0</v>
      </c>
    </row>
    <row r="18" spans="1:14" ht="20.100000000000001" customHeight="1" thickBot="1">
      <c r="A18" s="98">
        <v>44961</v>
      </c>
      <c r="B18" s="72"/>
      <c r="C18" s="109"/>
      <c r="D18" s="77">
        <f>B18*C18</f>
        <v>0</v>
      </c>
      <c r="E18" s="81"/>
      <c r="F18" s="98">
        <v>44231</v>
      </c>
      <c r="G18" s="76">
        <v>0</v>
      </c>
      <c r="H18" s="76">
        <v>0</v>
      </c>
      <c r="I18" s="77">
        <v>0</v>
      </c>
      <c r="J18" s="78"/>
      <c r="K18" s="98">
        <v>44231</v>
      </c>
      <c r="L18" s="112">
        <f>+B18-G18</f>
        <v>0</v>
      </c>
      <c r="M18" s="113" t="e">
        <f t="shared" si="0"/>
        <v>#DIV/0!</v>
      </c>
      <c r="N18" s="77">
        <f t="shared" si="1"/>
        <v>0</v>
      </c>
    </row>
    <row r="19" spans="1:14" ht="20.100000000000001" customHeight="1" thickBot="1">
      <c r="A19" s="98">
        <v>44989</v>
      </c>
      <c r="B19" s="72"/>
      <c r="C19" s="109"/>
      <c r="D19" s="77">
        <f>B19*C19</f>
        <v>0</v>
      </c>
      <c r="E19" s="83"/>
      <c r="F19" s="98">
        <v>44259</v>
      </c>
      <c r="G19" s="84">
        <v>0</v>
      </c>
      <c r="H19" s="84"/>
      <c r="I19" s="85">
        <v>0</v>
      </c>
      <c r="J19" s="86"/>
      <c r="K19" s="98">
        <v>44259</v>
      </c>
      <c r="L19" s="114">
        <f>+B19-G19</f>
        <v>0</v>
      </c>
      <c r="M19" s="120" t="e">
        <f>N19/L19</f>
        <v>#DIV/0!</v>
      </c>
      <c r="N19" s="85"/>
    </row>
    <row r="20" spans="1:14" ht="20.100000000000001" customHeight="1" thickBot="1">
      <c r="A20" s="90"/>
      <c r="B20" s="116">
        <f>SUM(B17:B19)</f>
        <v>0</v>
      </c>
      <c r="C20" s="117"/>
      <c r="D20" s="106">
        <f>SUM(D17:D19)</f>
        <v>0</v>
      </c>
      <c r="E20" s="94"/>
      <c r="F20" s="121"/>
      <c r="G20" s="106">
        <f>SUM(G17:G19)</f>
        <v>0</v>
      </c>
      <c r="H20" s="106"/>
      <c r="I20" s="95"/>
      <c r="J20" s="96"/>
      <c r="K20" s="121"/>
      <c r="L20" s="116">
        <f>SUM(L17:L19)</f>
        <v>0</v>
      </c>
      <c r="M20" s="122"/>
      <c r="N20" s="95">
        <f>SUM(N17:N19)</f>
        <v>0</v>
      </c>
    </row>
    <row r="21" spans="1:14" ht="24.75" customHeight="1" thickBot="1">
      <c r="A21" s="123" t="s">
        <v>56</v>
      </c>
      <c r="B21" s="116">
        <f>B8+B12+B16+B20</f>
        <v>22544095322</v>
      </c>
      <c r="C21" s="117">
        <f>D21/B21</f>
        <v>6.9152915416632581</v>
      </c>
      <c r="D21" s="106">
        <f>D8+D12+D16+D20</f>
        <v>155898991694.67682</v>
      </c>
      <c r="E21" s="94"/>
      <c r="F21" s="124"/>
      <c r="G21" s="106">
        <f>G8+G12+G16+G20</f>
        <v>0</v>
      </c>
      <c r="H21" s="106"/>
      <c r="I21" s="106">
        <f>I8+I12+I16+I20</f>
        <v>0</v>
      </c>
      <c r="J21" s="96"/>
      <c r="K21" s="124"/>
      <c r="L21" s="116">
        <f>L8+L12+L16+L20</f>
        <v>22544095322</v>
      </c>
      <c r="M21" s="122">
        <f t="shared" si="0"/>
        <v>6.9152915416632581</v>
      </c>
      <c r="N21" s="95">
        <f>N8+N12+N16+N20</f>
        <v>155898991694.67682</v>
      </c>
    </row>
    <row r="22" spans="1:14" s="127" customFormat="1">
      <c r="A22" s="125"/>
      <c r="B22" s="126"/>
      <c r="D22" s="126"/>
      <c r="F22" s="128"/>
      <c r="M22" s="129"/>
    </row>
    <row r="23" spans="1:14">
      <c r="B23" s="131"/>
    </row>
    <row r="24" spans="1:14" ht="13.5" thickBot="1">
      <c r="I24" s="64" t="s">
        <v>1426</v>
      </c>
    </row>
    <row r="25" spans="1:14" s="136" customFormat="1" ht="15.75" customHeight="1" thickBot="1">
      <c r="A25" s="1078" t="s">
        <v>1</v>
      </c>
      <c r="B25" s="1079"/>
      <c r="C25" s="132" t="s">
        <v>1055</v>
      </c>
      <c r="D25" s="133" t="s">
        <v>1056</v>
      </c>
      <c r="E25" s="134"/>
      <c r="F25" s="135" t="s">
        <v>1057</v>
      </c>
      <c r="I25" s="1078" t="s">
        <v>1</v>
      </c>
      <c r="J25" s="1079"/>
      <c r="K25" s="132" t="s">
        <v>1055</v>
      </c>
    </row>
    <row r="26" spans="1:14" ht="15">
      <c r="A26" s="137" t="s">
        <v>1058</v>
      </c>
      <c r="B26" s="138"/>
      <c r="C26" s="376">
        <f>+B21/10^6</f>
        <v>22544.095322000001</v>
      </c>
      <c r="D26" s="105">
        <f>+D21/10^7</f>
        <v>15589.899169467682</v>
      </c>
      <c r="F26" s="139">
        <f>+D26/C26*10</f>
        <v>6.9152915416632581</v>
      </c>
      <c r="H26" s="140"/>
      <c r="I26" s="137" t="s">
        <v>1058</v>
      </c>
      <c r="J26" s="138"/>
      <c r="K26" s="376">
        <v>25489</v>
      </c>
      <c r="L26" s="141"/>
      <c r="M26" s="142"/>
    </row>
    <row r="27" spans="1:14" ht="15">
      <c r="A27" t="s">
        <v>894</v>
      </c>
      <c r="B27" s="138"/>
      <c r="C27" s="376"/>
      <c r="D27" s="105">
        <f>+'TB Dt.01.02.2023'!F961/10^7</f>
        <v>0.64310460000000003</v>
      </c>
      <c r="F27" s="139"/>
      <c r="H27" s="140"/>
      <c r="I27" t="s">
        <v>894</v>
      </c>
      <c r="J27" s="138"/>
      <c r="K27" s="376"/>
      <c r="L27" s="141"/>
      <c r="M27" s="142"/>
    </row>
    <row r="28" spans="1:14" ht="15">
      <c r="A28" s="143" t="s">
        <v>1059</v>
      </c>
      <c r="B28" s="144"/>
      <c r="C28" s="377">
        <v>17.190000000000001</v>
      </c>
      <c r="D28" s="74">
        <f>+'TB Dt.01.02.2023'!F958/10^7</f>
        <v>5.2828866000000003</v>
      </c>
      <c r="F28" s="145">
        <f t="shared" ref="F28:F33" si="3">+D28/C28*10</f>
        <v>3.0732324607329842</v>
      </c>
      <c r="G28" s="146"/>
      <c r="H28" s="147"/>
      <c r="I28" s="143" t="s">
        <v>1059</v>
      </c>
      <c r="J28" s="144"/>
      <c r="K28" s="377">
        <v>158</v>
      </c>
      <c r="L28" s="142"/>
      <c r="M28" s="142"/>
    </row>
    <row r="29" spans="1:14" ht="15">
      <c r="A29" s="143" t="s">
        <v>1060</v>
      </c>
      <c r="B29" s="144"/>
      <c r="C29" s="377">
        <v>47</v>
      </c>
      <c r="D29" s="74">
        <f>(+'TB Dt.01.02.2023'!F959+'TB Dt.01.02.2023'!F963)/10^7</f>
        <v>13.71829</v>
      </c>
      <c r="F29" s="145">
        <f>+D29/C29*10</f>
        <v>2.9187851063829786</v>
      </c>
      <c r="I29" s="143" t="s">
        <v>1060</v>
      </c>
      <c r="J29" s="144"/>
      <c r="K29" s="377"/>
      <c r="L29" s="142"/>
      <c r="M29" s="142"/>
    </row>
    <row r="30" spans="1:14" ht="15">
      <c r="A30" s="143" t="s">
        <v>1061</v>
      </c>
      <c r="B30" s="144"/>
      <c r="C30" s="377">
        <f>+'DSM 4.9.22'!H32</f>
        <v>40.514340999999895</v>
      </c>
      <c r="D30" s="74">
        <f>+'DSM 4.9.22'!J32</f>
        <v>44.390077300000002</v>
      </c>
      <c r="F30" s="145">
        <f t="shared" si="3"/>
        <v>10.956633183296777</v>
      </c>
      <c r="I30" s="143" t="s">
        <v>1061</v>
      </c>
      <c r="J30" s="144"/>
      <c r="K30" s="377">
        <v>1317</v>
      </c>
      <c r="L30" s="142"/>
      <c r="M30" s="142"/>
    </row>
    <row r="31" spans="1:14" ht="15">
      <c r="A31" s="148" t="s">
        <v>1062</v>
      </c>
      <c r="B31" s="144"/>
      <c r="C31" s="378">
        <f>SUM(C26:C30)</f>
        <v>22648.799662999998</v>
      </c>
      <c r="D31" s="77">
        <f>SUM(D26:D30)</f>
        <v>15653.933527967683</v>
      </c>
      <c r="F31" s="145">
        <f t="shared" si="3"/>
        <v>6.9115952107345393</v>
      </c>
      <c r="I31" s="148" t="s">
        <v>1062</v>
      </c>
      <c r="J31" s="144"/>
      <c r="K31" s="378">
        <f>SUM(K26:K30)</f>
        <v>26964</v>
      </c>
      <c r="L31" s="142"/>
      <c r="M31" s="142"/>
    </row>
    <row r="32" spans="1:14">
      <c r="A32" s="143" t="s">
        <v>1063</v>
      </c>
      <c r="B32" s="144"/>
      <c r="C32" s="377">
        <f>-+'DSM 4.9.22'!G32</f>
        <v>87.993181000000277</v>
      </c>
      <c r="D32" s="74">
        <f>-+'DSM 4.9.22'!I32</f>
        <v>18.636244300000001</v>
      </c>
      <c r="F32" s="145">
        <f t="shared" si="3"/>
        <v>2.1179191487576681</v>
      </c>
      <c r="I32" s="143" t="s">
        <v>1063</v>
      </c>
      <c r="J32" s="144"/>
      <c r="K32" s="377">
        <f>-+'DSM 4.9.22'!O32</f>
        <v>0</v>
      </c>
    </row>
    <row r="33" spans="1:11">
      <c r="A33" s="143" t="s">
        <v>1064</v>
      </c>
      <c r="B33" s="144"/>
      <c r="C33" s="377">
        <v>0</v>
      </c>
      <c r="D33" s="74">
        <v>0</v>
      </c>
      <c r="F33" s="145" t="e">
        <f t="shared" si="3"/>
        <v>#DIV/0!</v>
      </c>
      <c r="H33" s="146"/>
      <c r="I33" s="143" t="s">
        <v>1064</v>
      </c>
      <c r="J33" s="144"/>
      <c r="K33" s="377">
        <v>0</v>
      </c>
    </row>
    <row r="34" spans="1:11" ht="13.5" thickBot="1">
      <c r="A34" s="149" t="s">
        <v>1065</v>
      </c>
      <c r="B34" s="150"/>
      <c r="C34" s="379">
        <f>+C31-C32-C33</f>
        <v>22560.806481999996</v>
      </c>
      <c r="D34" s="151">
        <f>+D31-D32-D33</f>
        <v>15635.297283667684</v>
      </c>
      <c r="F34" s="152">
        <f>+D34/C34*10</f>
        <v>6.9302918298342799</v>
      </c>
      <c r="I34" s="149" t="s">
        <v>1065</v>
      </c>
      <c r="J34" s="150"/>
      <c r="K34" s="379">
        <f>+K31-K32-K33</f>
        <v>26964</v>
      </c>
    </row>
    <row r="36" spans="1:11">
      <c r="D36" s="140"/>
      <c r="G36" s="140"/>
    </row>
  </sheetData>
  <mergeCells count="7">
    <mergeCell ref="A25:B25"/>
    <mergeCell ref="A1:N1"/>
    <mergeCell ref="A2:N2"/>
    <mergeCell ref="A3:D3"/>
    <mergeCell ref="F3:I3"/>
    <mergeCell ref="K3:N3"/>
    <mergeCell ref="I25:J25"/>
  </mergeCells>
  <pageMargins left="0.27559055118110237" right="0.15748031496062992" top="0.55118110236220474" bottom="0.39370078740157483" header="0.47244094488188981" footer="0.31496062992125984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BreakPreview" zoomScaleNormal="70" zoomScaleSheetLayoutView="100" workbookViewId="0">
      <pane ySplit="3" topLeftCell="A14" activePane="bottomLeft" state="frozen"/>
      <selection activeCell="C25" sqref="C25:E25"/>
      <selection pane="bottomLeft" activeCell="C25" sqref="C25:E25"/>
    </sheetView>
  </sheetViews>
  <sheetFormatPr defaultRowHeight="15"/>
  <cols>
    <col min="1" max="1" width="7.140625" style="331" customWidth="1"/>
    <col min="2" max="2" width="11.140625" style="331" customWidth="1"/>
    <col min="3" max="3" width="29.42578125" style="331" customWidth="1"/>
    <col min="4" max="4" width="18.85546875" style="331" customWidth="1"/>
    <col min="5" max="5" width="17.42578125" style="373" customWidth="1"/>
    <col min="6" max="6" width="18.28515625" style="373" customWidth="1"/>
    <col min="7" max="7" width="15.5703125" style="331" customWidth="1"/>
    <col min="8" max="8" width="17" style="331" customWidth="1"/>
    <col min="9" max="9" width="18.85546875" style="331" customWidth="1"/>
    <col min="10" max="10" width="17" style="331" customWidth="1"/>
    <col min="11" max="11" width="12.5703125" style="331" customWidth="1"/>
    <col min="12" max="16384" width="9.140625" style="331"/>
  </cols>
  <sheetData>
    <row r="1" spans="1:12">
      <c r="A1" s="1174" t="s">
        <v>1079</v>
      </c>
      <c r="B1" s="1174"/>
      <c r="C1" s="1174"/>
      <c r="D1" s="1174"/>
      <c r="E1" s="1174"/>
      <c r="F1" s="1174"/>
      <c r="G1" s="1174"/>
      <c r="H1" s="1174"/>
      <c r="I1" s="1174"/>
      <c r="J1" s="1174"/>
    </row>
    <row r="2" spans="1:12" ht="65.25" customHeight="1">
      <c r="A2" s="1175" t="s">
        <v>1080</v>
      </c>
      <c r="B2" s="1175"/>
      <c r="C2" s="1175"/>
      <c r="D2" s="1175"/>
      <c r="E2" s="332" t="s">
        <v>1081</v>
      </c>
      <c r="F2" s="332" t="s">
        <v>1082</v>
      </c>
      <c r="G2" s="333" t="s">
        <v>1083</v>
      </c>
      <c r="H2" s="333" t="s">
        <v>1084</v>
      </c>
      <c r="I2" s="334" t="s">
        <v>1085</v>
      </c>
      <c r="J2" s="334" t="s">
        <v>1086</v>
      </c>
    </row>
    <row r="3" spans="1:12" s="341" customFormat="1" ht="51" customHeight="1">
      <c r="A3" s="335" t="s">
        <v>1087</v>
      </c>
      <c r="B3" s="335" t="s">
        <v>1088</v>
      </c>
      <c r="C3" s="336" t="s">
        <v>1089</v>
      </c>
      <c r="D3" s="335" t="s">
        <v>1090</v>
      </c>
      <c r="E3" s="337">
        <v>3</v>
      </c>
      <c r="F3" s="337">
        <v>4</v>
      </c>
      <c r="G3" s="338" t="s">
        <v>1091</v>
      </c>
      <c r="H3" s="339" t="s">
        <v>1092</v>
      </c>
      <c r="I3" s="340"/>
      <c r="J3" s="339"/>
    </row>
    <row r="4" spans="1:12" s="349" customFormat="1">
      <c r="A4" s="342">
        <v>52</v>
      </c>
      <c r="B4" s="342">
        <v>0</v>
      </c>
      <c r="C4" s="343" t="s">
        <v>1093</v>
      </c>
      <c r="D4" s="344">
        <v>7779320</v>
      </c>
      <c r="E4" s="344">
        <v>276511.43199999997</v>
      </c>
      <c r="F4" s="344">
        <v>275473.28099999996</v>
      </c>
      <c r="G4" s="345">
        <f>E4-F4</f>
        <v>1038.1510000000126</v>
      </c>
      <c r="H4" s="345"/>
      <c r="I4" s="346">
        <f>IF(D4&lt;0,D4,)</f>
        <v>0</v>
      </c>
      <c r="J4" s="347">
        <f t="shared" ref="J4:J18" si="0">IF(D4&gt;0,D4,)</f>
        <v>7779320</v>
      </c>
      <c r="K4" s="347"/>
      <c r="L4" s="348"/>
    </row>
    <row r="5" spans="1:12" s="349" customFormat="1">
      <c r="A5" s="342">
        <v>1</v>
      </c>
      <c r="B5" s="342">
        <v>0</v>
      </c>
      <c r="C5" s="343" t="s">
        <v>1094</v>
      </c>
      <c r="D5" s="344">
        <v>-42815848</v>
      </c>
      <c r="E5" s="344">
        <v>683808.32900000003</v>
      </c>
      <c r="F5" s="344">
        <v>674420.57499999995</v>
      </c>
      <c r="G5" s="345">
        <f>E5-F5</f>
        <v>9387.7540000000736</v>
      </c>
      <c r="H5" s="345"/>
      <c r="I5" s="346">
        <f>IF(D5&lt;0,D5,)</f>
        <v>-42815848</v>
      </c>
      <c r="J5" s="347">
        <f t="shared" si="0"/>
        <v>0</v>
      </c>
      <c r="K5" s="350"/>
      <c r="L5" s="348"/>
    </row>
    <row r="6" spans="1:12" s="349" customFormat="1">
      <c r="A6" s="342">
        <v>2</v>
      </c>
      <c r="B6" s="342">
        <v>0</v>
      </c>
      <c r="C6" s="343" t="s">
        <v>1095</v>
      </c>
      <c r="D6" s="344">
        <v>42006097</v>
      </c>
      <c r="E6" s="344">
        <v>664395.78300000005</v>
      </c>
      <c r="F6" s="344">
        <v>671041.12099999993</v>
      </c>
      <c r="G6" s="345"/>
      <c r="H6" s="345">
        <f>F6-E6</f>
        <v>6645.3379999998724</v>
      </c>
      <c r="I6" s="346">
        <f t="shared" ref="I6:I18" si="1">IF(D6&lt;0,D6,)</f>
        <v>0</v>
      </c>
      <c r="J6" s="347">
        <f t="shared" si="0"/>
        <v>42006097</v>
      </c>
      <c r="K6" s="350"/>
      <c r="L6" s="348"/>
    </row>
    <row r="7" spans="1:12" s="349" customFormat="1">
      <c r="A7" s="342">
        <v>3</v>
      </c>
      <c r="B7" s="342">
        <v>0</v>
      </c>
      <c r="C7" s="343" t="s">
        <v>1096</v>
      </c>
      <c r="D7" s="344">
        <v>-41423248</v>
      </c>
      <c r="E7" s="344">
        <v>677535.56099999999</v>
      </c>
      <c r="F7" s="344">
        <v>672630.42200000002</v>
      </c>
      <c r="G7" s="345">
        <f t="shared" ref="G7:G8" si="2">E7-F7</f>
        <v>4905.1389999999665</v>
      </c>
      <c r="H7" s="345"/>
      <c r="I7" s="346">
        <f t="shared" si="1"/>
        <v>-41423248</v>
      </c>
      <c r="J7" s="347">
        <f t="shared" si="0"/>
        <v>0</v>
      </c>
      <c r="K7" s="350"/>
      <c r="L7" s="348"/>
    </row>
    <row r="8" spans="1:12" s="349" customFormat="1">
      <c r="A8" s="342">
        <v>4</v>
      </c>
      <c r="B8" s="342">
        <v>0</v>
      </c>
      <c r="C8" s="343" t="s">
        <v>1097</v>
      </c>
      <c r="D8" s="344">
        <v>-45126146</v>
      </c>
      <c r="E8" s="344">
        <v>681286.72200000007</v>
      </c>
      <c r="F8" s="344">
        <v>675979.12100000004</v>
      </c>
      <c r="G8" s="345">
        <f t="shared" si="2"/>
        <v>5307.6010000000242</v>
      </c>
      <c r="H8" s="345"/>
      <c r="I8" s="346">
        <f t="shared" si="1"/>
        <v>-45126146</v>
      </c>
      <c r="J8" s="347">
        <f t="shared" si="0"/>
        <v>0</v>
      </c>
      <c r="K8" s="350"/>
      <c r="L8" s="348"/>
    </row>
    <row r="9" spans="1:12" s="349" customFormat="1">
      <c r="A9" s="342">
        <v>5</v>
      </c>
      <c r="B9" s="342">
        <v>0</v>
      </c>
      <c r="C9" s="343" t="s">
        <v>1098</v>
      </c>
      <c r="D9" s="344">
        <v>19364188</v>
      </c>
      <c r="E9" s="344">
        <v>657356.09000000008</v>
      </c>
      <c r="F9" s="344">
        <v>660767.72199999995</v>
      </c>
      <c r="G9" s="345"/>
      <c r="H9" s="345">
        <f t="shared" ref="H9:H16" si="3">F9-E9</f>
        <v>3411.6319999998668</v>
      </c>
      <c r="I9" s="346">
        <f t="shared" si="1"/>
        <v>0</v>
      </c>
      <c r="J9" s="347">
        <f t="shared" si="0"/>
        <v>19364188</v>
      </c>
      <c r="K9" s="350"/>
      <c r="L9" s="348"/>
    </row>
    <row r="10" spans="1:12" s="349" customFormat="1">
      <c r="A10" s="342">
        <v>6</v>
      </c>
      <c r="B10" s="342">
        <v>0</v>
      </c>
      <c r="C10" s="343" t="s">
        <v>1099</v>
      </c>
      <c r="D10" s="344">
        <v>-14772032</v>
      </c>
      <c r="E10" s="344">
        <v>671953.82900000003</v>
      </c>
      <c r="F10" s="344">
        <v>666458.44999999995</v>
      </c>
      <c r="G10" s="345">
        <f>E10-F10</f>
        <v>5495.3790000000736</v>
      </c>
      <c r="H10" s="345"/>
      <c r="I10" s="346">
        <f t="shared" si="1"/>
        <v>-14772032</v>
      </c>
      <c r="J10" s="347">
        <f t="shared" si="0"/>
        <v>0</v>
      </c>
      <c r="K10" s="350"/>
      <c r="L10" s="348"/>
    </row>
    <row r="11" spans="1:12" s="349" customFormat="1">
      <c r="A11" s="342">
        <v>7</v>
      </c>
      <c r="B11" s="342">
        <v>0</v>
      </c>
      <c r="C11" s="343" t="s">
        <v>1100</v>
      </c>
      <c r="D11" s="344">
        <v>2564985</v>
      </c>
      <c r="E11" s="344">
        <v>656346.13199999998</v>
      </c>
      <c r="F11" s="344">
        <v>649977.81200000003</v>
      </c>
      <c r="G11" s="345">
        <f>E11-F11</f>
        <v>6368.3199999999488</v>
      </c>
      <c r="H11" s="345"/>
      <c r="I11" s="346">
        <f t="shared" si="1"/>
        <v>0</v>
      </c>
      <c r="J11" s="347">
        <f t="shared" si="0"/>
        <v>2564985</v>
      </c>
      <c r="K11" s="350"/>
      <c r="L11" s="348"/>
    </row>
    <row r="12" spans="1:12" s="349" customFormat="1">
      <c r="A12" s="342">
        <v>8</v>
      </c>
      <c r="B12" s="342">
        <v>0</v>
      </c>
      <c r="C12" s="343" t="s">
        <v>1101</v>
      </c>
      <c r="D12" s="344">
        <v>-1347844</v>
      </c>
      <c r="E12" s="344">
        <v>647363.31500000006</v>
      </c>
      <c r="F12" s="344">
        <v>645264.26199999999</v>
      </c>
      <c r="G12" s="345">
        <f>E12-F12</f>
        <v>2099.0530000000726</v>
      </c>
      <c r="H12" s="345"/>
      <c r="I12" s="346">
        <f t="shared" si="1"/>
        <v>-1347844</v>
      </c>
      <c r="J12" s="347">
        <f t="shared" si="0"/>
        <v>0</v>
      </c>
      <c r="K12" s="350"/>
      <c r="L12" s="348"/>
    </row>
    <row r="13" spans="1:12" s="349" customFormat="1">
      <c r="A13" s="342">
        <v>9</v>
      </c>
      <c r="B13" s="342">
        <v>1</v>
      </c>
      <c r="C13" s="343" t="s">
        <v>1102</v>
      </c>
      <c r="D13" s="344">
        <v>-9760110</v>
      </c>
      <c r="E13" s="344">
        <v>655358.05300000007</v>
      </c>
      <c r="F13" s="344">
        <v>652320.05400000012</v>
      </c>
      <c r="G13" s="345">
        <f>E13-F13</f>
        <v>3037.9989999999525</v>
      </c>
      <c r="H13" s="345"/>
      <c r="I13" s="346">
        <f t="shared" si="1"/>
        <v>-9760110</v>
      </c>
      <c r="J13" s="347">
        <f t="shared" si="0"/>
        <v>0</v>
      </c>
      <c r="K13" s="350"/>
      <c r="L13" s="348"/>
    </row>
    <row r="14" spans="1:12" s="349" customFormat="1">
      <c r="A14" s="342">
        <v>10</v>
      </c>
      <c r="B14" s="342">
        <v>0</v>
      </c>
      <c r="C14" s="343" t="s">
        <v>1103</v>
      </c>
      <c r="D14" s="344">
        <v>51055811</v>
      </c>
      <c r="E14" s="344">
        <v>648567.57899999991</v>
      </c>
      <c r="F14" s="344">
        <v>655180.73100000003</v>
      </c>
      <c r="G14" s="345"/>
      <c r="H14" s="345">
        <f t="shared" si="3"/>
        <v>6613.1520000001183</v>
      </c>
      <c r="I14" s="346">
        <f t="shared" si="1"/>
        <v>0</v>
      </c>
      <c r="J14" s="347">
        <f t="shared" si="0"/>
        <v>51055811</v>
      </c>
      <c r="K14" s="350"/>
      <c r="L14" s="348"/>
    </row>
    <row r="15" spans="1:12" s="349" customFormat="1">
      <c r="A15" s="342">
        <v>11</v>
      </c>
      <c r="B15" s="342">
        <v>0</v>
      </c>
      <c r="C15" s="343" t="s">
        <v>1104</v>
      </c>
      <c r="D15" s="344">
        <v>45431176</v>
      </c>
      <c r="E15" s="344">
        <v>640271.42800000007</v>
      </c>
      <c r="F15" s="344">
        <v>643241.69799999997</v>
      </c>
      <c r="G15" s="345"/>
      <c r="H15" s="345">
        <f t="shared" si="3"/>
        <v>2970.2699999999022</v>
      </c>
      <c r="I15" s="346">
        <f t="shared" si="1"/>
        <v>0</v>
      </c>
      <c r="J15" s="347">
        <f t="shared" si="0"/>
        <v>45431176</v>
      </c>
      <c r="K15" s="350"/>
      <c r="L15" s="348"/>
    </row>
    <row r="16" spans="1:12" s="349" customFormat="1">
      <c r="A16" s="342">
        <v>12</v>
      </c>
      <c r="B16" s="342">
        <v>0</v>
      </c>
      <c r="C16" s="343" t="s">
        <v>1105</v>
      </c>
      <c r="D16" s="344">
        <v>35019216</v>
      </c>
      <c r="E16" s="344">
        <v>614781.39099999995</v>
      </c>
      <c r="F16" s="344">
        <v>615927.33600000001</v>
      </c>
      <c r="G16" s="345"/>
      <c r="H16" s="345">
        <f t="shared" si="3"/>
        <v>1145.9450000000652</v>
      </c>
      <c r="I16" s="346">
        <f t="shared" si="1"/>
        <v>0</v>
      </c>
      <c r="J16" s="347">
        <f t="shared" si="0"/>
        <v>35019216</v>
      </c>
      <c r="K16" s="350"/>
      <c r="L16" s="348"/>
    </row>
    <row r="17" spans="1:12" s="349" customFormat="1">
      <c r="A17" s="342">
        <v>13</v>
      </c>
      <c r="B17" s="342">
        <v>0</v>
      </c>
      <c r="C17" s="343" t="s">
        <v>1106</v>
      </c>
      <c r="D17" s="344">
        <v>11011411</v>
      </c>
      <c r="E17" s="344">
        <v>607108.26</v>
      </c>
      <c r="F17" s="344">
        <v>603926.27599999995</v>
      </c>
      <c r="G17" s="345">
        <f>E17-F17</f>
        <v>3181.9840000000549</v>
      </c>
      <c r="H17" s="345"/>
      <c r="I17" s="346">
        <f t="shared" si="1"/>
        <v>0</v>
      </c>
      <c r="J17" s="347">
        <f t="shared" si="0"/>
        <v>11011411</v>
      </c>
      <c r="K17" s="350"/>
      <c r="L17" s="348"/>
    </row>
    <row r="18" spans="1:12" s="349" customFormat="1">
      <c r="A18" s="342">
        <v>14</v>
      </c>
      <c r="B18" s="342">
        <v>0</v>
      </c>
      <c r="C18" s="343" t="s">
        <v>1206</v>
      </c>
      <c r="D18" s="344">
        <v>-3289954</v>
      </c>
      <c r="E18" s="344">
        <v>595553.47200000007</v>
      </c>
      <c r="F18" s="344">
        <v>586891.32999999996</v>
      </c>
      <c r="G18" s="345">
        <f>E18-F18</f>
        <v>8662.142000000109</v>
      </c>
      <c r="H18" s="345"/>
      <c r="I18" s="346">
        <f t="shared" si="1"/>
        <v>-3289954</v>
      </c>
      <c r="J18" s="347">
        <f t="shared" si="0"/>
        <v>0</v>
      </c>
      <c r="K18" s="350"/>
      <c r="L18" s="348"/>
    </row>
    <row r="19" spans="1:12" s="349" customFormat="1">
      <c r="A19" s="342"/>
      <c r="B19" s="342"/>
      <c r="C19" s="343"/>
      <c r="D19" s="344"/>
      <c r="E19" s="344"/>
      <c r="F19" s="344"/>
      <c r="G19" s="345"/>
      <c r="H19" s="345"/>
      <c r="I19" s="346"/>
      <c r="J19" s="347"/>
      <c r="K19" s="350"/>
      <c r="L19" s="348"/>
    </row>
    <row r="20" spans="1:12" ht="21" customHeight="1">
      <c r="A20" s="351"/>
      <c r="B20" s="351"/>
      <c r="C20" s="352"/>
      <c r="D20" s="353">
        <f>SUM(D4:D19)</f>
        <v>55697022</v>
      </c>
      <c r="E20" s="353">
        <f>SUM(E4:E19)</f>
        <v>9378197.376000002</v>
      </c>
      <c r="F20" s="353">
        <f>SUM(F4:F19)</f>
        <v>9349500.1910000015</v>
      </c>
      <c r="G20" s="353">
        <f>SUM(G4:G19)</f>
        <v>49483.522000000288</v>
      </c>
      <c r="H20" s="353">
        <f t="shared" ref="H20:J20" si="4">SUM(H4:H19)</f>
        <v>20786.336999999825</v>
      </c>
      <c r="I20" s="353">
        <f>SUM(I4:I19)</f>
        <v>-158535182</v>
      </c>
      <c r="J20" s="353">
        <f t="shared" si="4"/>
        <v>214232204</v>
      </c>
      <c r="K20" s="354"/>
    </row>
    <row r="21" spans="1:12" ht="18.75" customHeight="1">
      <c r="A21" s="355"/>
      <c r="B21" s="355"/>
      <c r="C21" s="351" t="s">
        <v>1107</v>
      </c>
      <c r="D21" s="356"/>
      <c r="E21" s="1176">
        <f>F20-E20</f>
        <v>-28697.185000000522</v>
      </c>
      <c r="F21" s="1177"/>
      <c r="G21" s="1178">
        <f>H20-G20</f>
        <v>-28697.185000000463</v>
      </c>
      <c r="H21" s="1179"/>
      <c r="I21" s="1180">
        <f>J20+I20</f>
        <v>55697022</v>
      </c>
      <c r="J21" s="1180"/>
      <c r="K21" s="354"/>
    </row>
    <row r="22" spans="1:12" ht="15.75">
      <c r="E22" s="344"/>
      <c r="F22" s="357"/>
      <c r="G22" s="358"/>
      <c r="H22" s="358"/>
      <c r="I22" s="359"/>
      <c r="J22" s="359"/>
    </row>
    <row r="23" spans="1:12" ht="15.75">
      <c r="E23" s="357"/>
      <c r="F23" s="360"/>
      <c r="G23" s="358"/>
      <c r="H23" s="361">
        <f>E21-G21</f>
        <v>-5.8207660913467407E-11</v>
      </c>
      <c r="I23" s="359"/>
      <c r="J23" s="362">
        <f>I21/10000000</f>
        <v>5.5697022</v>
      </c>
      <c r="K23" s="363"/>
    </row>
    <row r="24" spans="1:12" ht="15.75">
      <c r="E24" s="357"/>
      <c r="F24" s="360"/>
      <c r="G24" s="358"/>
      <c r="H24" s="358">
        <f>D20-I21</f>
        <v>0</v>
      </c>
      <c r="I24" s="359"/>
      <c r="J24" s="359"/>
    </row>
    <row r="25" spans="1:12" ht="15.75">
      <c r="B25" s="364" t="s">
        <v>1108</v>
      </c>
      <c r="C25" s="1181" t="s">
        <v>1109</v>
      </c>
      <c r="D25" s="1181"/>
      <c r="E25" s="1181"/>
      <c r="F25" s="365"/>
      <c r="G25" s="366"/>
      <c r="H25" s="361"/>
      <c r="I25" s="359"/>
      <c r="J25" s="359"/>
    </row>
    <row r="26" spans="1:12" ht="15.75">
      <c r="B26" s="367"/>
      <c r="C26" s="1181" t="s">
        <v>1110</v>
      </c>
      <c r="D26" s="1181"/>
      <c r="E26" s="1181"/>
      <c r="F26" s="360"/>
      <c r="G26" s="221"/>
      <c r="H26" s="368"/>
      <c r="I26" s="368"/>
      <c r="J26" s="368"/>
    </row>
    <row r="27" spans="1:12" ht="15.75">
      <c r="A27" s="369"/>
      <c r="B27" s="367"/>
      <c r="C27" s="1181" t="s">
        <v>1111</v>
      </c>
      <c r="D27" s="1181"/>
      <c r="E27" s="1181"/>
      <c r="F27" s="370"/>
      <c r="G27" s="221"/>
      <c r="H27" s="1182"/>
      <c r="I27" s="1182"/>
      <c r="J27" s="371"/>
    </row>
    <row r="28" spans="1:12" ht="15.75">
      <c r="A28" s="369"/>
      <c r="B28" s="367"/>
      <c r="C28" s="1181"/>
      <c r="D28" s="1181"/>
      <c r="E28" s="1181"/>
      <c r="F28" s="372"/>
      <c r="G28" s="221"/>
      <c r="H28" s="1183"/>
      <c r="I28" s="1183"/>
      <c r="J28" s="371"/>
    </row>
    <row r="29" spans="1:12" ht="15.75">
      <c r="F29" s="374"/>
      <c r="J29" s="375"/>
    </row>
    <row r="30" spans="1:12" ht="15.75">
      <c r="F30" s="374"/>
      <c r="J30" s="375"/>
    </row>
    <row r="31" spans="1:12" ht="15.75">
      <c r="F31" s="1173"/>
      <c r="G31" s="1173"/>
      <c r="H31" s="1173"/>
      <c r="I31" s="1173"/>
    </row>
    <row r="32" spans="1:12" ht="15.75">
      <c r="J32" s="375"/>
    </row>
  </sheetData>
  <mergeCells count="12">
    <mergeCell ref="F31:I31"/>
    <mergeCell ref="A1:J1"/>
    <mergeCell ref="A2:D2"/>
    <mergeCell ref="E21:F21"/>
    <mergeCell ref="G21:H21"/>
    <mergeCell ref="I21:J21"/>
    <mergeCell ref="C25:E25"/>
    <mergeCell ref="C26:E26"/>
    <mergeCell ref="C27:E27"/>
    <mergeCell ref="H27:I27"/>
    <mergeCell ref="C28:E28"/>
    <mergeCell ref="H28:I28"/>
  </mergeCells>
  <pageMargins left="0.7" right="0.7" top="0.75" bottom="0.75" header="0.3" footer="0.3"/>
  <pageSetup paperSize="9"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AE13" sqref="AE13"/>
    </sheetView>
  </sheetViews>
  <sheetFormatPr defaultRowHeight="18.75"/>
  <cols>
    <col min="1" max="1" width="15.5703125" style="270" customWidth="1"/>
    <col min="2" max="2" width="8.140625" style="271" customWidth="1"/>
    <col min="3" max="3" width="11.7109375" style="269" bestFit="1" customWidth="1"/>
    <col min="4" max="6" width="12" style="269" customWidth="1"/>
    <col min="7" max="7" width="13.28515625" style="269" customWidth="1"/>
    <col min="8" max="8" width="12" style="269" customWidth="1"/>
    <col min="9" max="9" width="13.28515625" style="269" customWidth="1"/>
    <col min="10" max="16384" width="9.140625" style="269"/>
  </cols>
  <sheetData>
    <row r="1" spans="1:8" ht="21" customHeight="1">
      <c r="A1" s="1184" t="s">
        <v>1140</v>
      </c>
      <c r="B1" s="1184"/>
      <c r="C1" s="1184"/>
      <c r="D1" s="1184"/>
      <c r="E1" s="1184"/>
      <c r="F1" s="1184"/>
      <c r="G1" s="1184"/>
      <c r="H1" s="1184"/>
    </row>
    <row r="2" spans="1:8">
      <c r="G2" s="270" t="s">
        <v>1141</v>
      </c>
    </row>
    <row r="3" spans="1:8" ht="21.75" customHeight="1">
      <c r="A3" s="272" t="s">
        <v>1142</v>
      </c>
      <c r="B3" s="273"/>
      <c r="C3" s="273" t="s">
        <v>1055</v>
      </c>
      <c r="D3" s="274">
        <v>314.62</v>
      </c>
      <c r="E3" s="274">
        <v>834.42750000000001</v>
      </c>
      <c r="F3" s="274">
        <v>2257.5810999999999</v>
      </c>
      <c r="G3" s="274">
        <v>470.75</v>
      </c>
      <c r="H3" s="274">
        <f>E3+F3+G3</f>
        <v>3562.7586000000001</v>
      </c>
    </row>
    <row r="4" spans="1:8">
      <c r="A4" s="272"/>
      <c r="B4" s="273"/>
      <c r="C4" s="275"/>
      <c r="D4" s="276"/>
      <c r="E4" s="276" t="s">
        <v>1143</v>
      </c>
      <c r="F4" s="276" t="s">
        <v>1138</v>
      </c>
      <c r="G4" s="276" t="s">
        <v>1144</v>
      </c>
      <c r="H4" s="274"/>
    </row>
    <row r="5" spans="1:8">
      <c r="A5" s="272" t="s">
        <v>2</v>
      </c>
      <c r="B5" s="273" t="s">
        <v>1145</v>
      </c>
      <c r="C5" s="275"/>
      <c r="D5" s="276"/>
      <c r="E5" s="276">
        <v>32.393252077910695</v>
      </c>
      <c r="F5" s="276">
        <v>108.56305730208581</v>
      </c>
      <c r="G5" s="276">
        <v>22.100116229545456</v>
      </c>
      <c r="H5" s="274">
        <f>E5+F5+G5</f>
        <v>163.05642560954195</v>
      </c>
    </row>
    <row r="6" spans="1:8">
      <c r="A6" s="272"/>
      <c r="B6" s="273" t="s">
        <v>1146</v>
      </c>
      <c r="C6" s="277"/>
      <c r="D6" s="276">
        <v>36.148834268801089</v>
      </c>
      <c r="E6" s="276"/>
      <c r="F6" s="276"/>
      <c r="G6" s="276"/>
      <c r="H6" s="274"/>
    </row>
    <row r="7" spans="1:8">
      <c r="A7" s="272"/>
      <c r="B7" s="273"/>
      <c r="C7" s="275"/>
      <c r="D7" s="276"/>
      <c r="E7" s="276"/>
      <c r="F7" s="276"/>
      <c r="G7" s="276"/>
      <c r="H7" s="274"/>
    </row>
    <row r="8" spans="1:8">
      <c r="A8" s="272" t="s">
        <v>1147</v>
      </c>
      <c r="B8" s="273" t="s">
        <v>1145</v>
      </c>
      <c r="C8" s="275"/>
      <c r="D8" s="276"/>
      <c r="E8" s="276">
        <v>39.083236612654282</v>
      </c>
      <c r="F8" s="276">
        <v>140.12986518326855</v>
      </c>
      <c r="G8" s="276">
        <v>29.434760711363637</v>
      </c>
      <c r="H8" s="274">
        <f>E8+F8+G8</f>
        <v>208.64786250728645</v>
      </c>
    </row>
    <row r="9" spans="1:8">
      <c r="A9" s="272"/>
      <c r="B9" s="273" t="s">
        <v>1146</v>
      </c>
      <c r="C9" s="277"/>
      <c r="D9" s="276">
        <v>43.215391180271304</v>
      </c>
      <c r="E9" s="276"/>
      <c r="F9" s="276"/>
      <c r="G9" s="276"/>
      <c r="H9" s="274"/>
    </row>
    <row r="10" spans="1:8">
      <c r="A10" s="272"/>
      <c r="B10" s="273"/>
      <c r="C10" s="275"/>
      <c r="D10" s="276"/>
      <c r="E10" s="276"/>
      <c r="F10" s="276"/>
      <c r="G10" s="276"/>
      <c r="H10" s="274"/>
    </row>
    <row r="11" spans="1:8">
      <c r="A11" s="272" t="s">
        <v>1148</v>
      </c>
      <c r="B11" s="273" t="s">
        <v>1145</v>
      </c>
      <c r="C11" s="275"/>
      <c r="D11" s="276"/>
      <c r="E11" s="276">
        <v>371.77605303683526</v>
      </c>
      <c r="F11" s="276">
        <v>893.53342334209503</v>
      </c>
      <c r="G11" s="276">
        <v>185.9247110477273</v>
      </c>
      <c r="H11" s="274">
        <f>E11+F11+G11</f>
        <v>1451.2341874266576</v>
      </c>
    </row>
    <row r="12" spans="1:8">
      <c r="A12" s="272"/>
      <c r="B12" s="273" t="s">
        <v>1146</v>
      </c>
      <c r="C12" s="277"/>
      <c r="D12" s="276">
        <v>102.37048950035896</v>
      </c>
      <c r="E12" s="276"/>
      <c r="F12" s="276"/>
      <c r="G12" s="276"/>
      <c r="H12" s="274"/>
    </row>
    <row r="13" spans="1:8">
      <c r="A13" s="272"/>
      <c r="B13" s="273"/>
      <c r="C13" s="275"/>
      <c r="D13" s="276"/>
      <c r="E13" s="276"/>
      <c r="F13" s="276"/>
      <c r="G13" s="276"/>
      <c r="H13" s="274"/>
    </row>
    <row r="14" spans="1:8" ht="16.5" customHeight="1">
      <c r="A14" s="272" t="s">
        <v>1149</v>
      </c>
      <c r="B14" s="273" t="s">
        <v>1145</v>
      </c>
      <c r="C14" s="278"/>
      <c r="D14" s="276"/>
      <c r="E14" s="276">
        <v>391.17495827259972</v>
      </c>
      <c r="F14" s="276">
        <v>1115.3547541725504</v>
      </c>
      <c r="G14" s="276">
        <v>233.29041201136363</v>
      </c>
      <c r="H14" s="274">
        <f>E14+F14+G14</f>
        <v>1739.8201244565139</v>
      </c>
    </row>
    <row r="15" spans="1:8" ht="18" customHeight="1">
      <c r="A15" s="272"/>
      <c r="B15" s="273" t="s">
        <v>1146</v>
      </c>
      <c r="C15" s="277"/>
      <c r="D15" s="276">
        <v>132.88528505056865</v>
      </c>
      <c r="E15" s="276"/>
      <c r="F15" s="276"/>
      <c r="G15" s="276"/>
      <c r="H15" s="274"/>
    </row>
    <row r="16" spans="1:8" s="270" customFormat="1" ht="24" customHeight="1">
      <c r="A16" s="272"/>
      <c r="B16" s="273"/>
      <c r="C16" s="272" t="s">
        <v>1107</v>
      </c>
      <c r="D16" s="274">
        <f>SUM(D6:D15)</f>
        <v>314.62</v>
      </c>
      <c r="E16" s="274">
        <f t="shared" ref="E16:H16" si="0">SUM(E5:E15)</f>
        <v>834.42750000000001</v>
      </c>
      <c r="F16" s="274">
        <f t="shared" si="0"/>
        <v>2257.5810999999999</v>
      </c>
      <c r="G16" s="274">
        <f t="shared" si="0"/>
        <v>470.75</v>
      </c>
      <c r="H16" s="274">
        <f t="shared" si="0"/>
        <v>3562.7586000000001</v>
      </c>
    </row>
    <row r="17" spans="4:7">
      <c r="D17" s="279">
        <f>D3-D16</f>
        <v>0</v>
      </c>
      <c r="E17" s="279">
        <f>E3-E16</f>
        <v>0</v>
      </c>
      <c r="F17" s="279">
        <f>F3-F16</f>
        <v>0</v>
      </c>
      <c r="G17" s="279">
        <f>G3-G16</f>
        <v>0</v>
      </c>
    </row>
  </sheetData>
  <mergeCells count="1">
    <mergeCell ref="A1:H1"/>
  </mergeCells>
  <printOptions horizontalCentered="1"/>
  <pageMargins left="0.39370078740157483" right="0.11811023622047245" top="0.39370078740157483" bottom="0.15748031496062992" header="0.11811023622047245" footer="0.11811023622047245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42"/>
  <sheetViews>
    <sheetView view="pageBreakPreview" zoomScaleNormal="70" zoomScaleSheetLayoutView="100" workbookViewId="0">
      <pane ySplit="3" topLeftCell="A27" activePane="bottomLeft" state="frozen"/>
      <selection activeCell="G46" sqref="G46"/>
      <selection pane="bottomLeft" activeCell="G46" sqref="G46"/>
    </sheetView>
  </sheetViews>
  <sheetFormatPr defaultRowHeight="15"/>
  <cols>
    <col min="1" max="1" width="7.140625" style="493" customWidth="1"/>
    <col min="2" max="2" width="11.140625" style="493" customWidth="1"/>
    <col min="3" max="3" width="29.42578125" style="493" customWidth="1"/>
    <col min="4" max="4" width="18.85546875" style="493" customWidth="1"/>
    <col min="5" max="5" width="17.42578125" style="535" customWidth="1"/>
    <col min="6" max="6" width="18.28515625" style="535" customWidth="1"/>
    <col min="7" max="7" width="15.5703125" style="493" customWidth="1"/>
    <col min="8" max="8" width="17" style="493" customWidth="1"/>
    <col min="9" max="9" width="18.85546875" style="493" customWidth="1"/>
    <col min="10" max="10" width="17" style="493" customWidth="1"/>
    <col min="11" max="11" width="12.5703125" style="493" customWidth="1"/>
    <col min="12" max="16384" width="9.140625" style="493"/>
  </cols>
  <sheetData>
    <row r="1" spans="1:12">
      <c r="A1" s="1186" t="s">
        <v>1079</v>
      </c>
      <c r="B1" s="1186"/>
      <c r="C1" s="1186"/>
      <c r="D1" s="1186"/>
      <c r="E1" s="1186"/>
      <c r="F1" s="1186"/>
      <c r="G1" s="1186"/>
      <c r="H1" s="1186"/>
      <c r="I1" s="1186"/>
      <c r="J1" s="1186"/>
    </row>
    <row r="2" spans="1:12" ht="65.25" customHeight="1">
      <c r="A2" s="1187" t="s">
        <v>1080</v>
      </c>
      <c r="B2" s="1187"/>
      <c r="C2" s="1187"/>
      <c r="D2" s="1187"/>
      <c r="E2" s="494" t="s">
        <v>1081</v>
      </c>
      <c r="F2" s="494" t="s">
        <v>1082</v>
      </c>
      <c r="G2" s="495" t="s">
        <v>1083</v>
      </c>
      <c r="H2" s="495" t="s">
        <v>1084</v>
      </c>
      <c r="I2" s="496" t="s">
        <v>1085</v>
      </c>
      <c r="J2" s="496" t="s">
        <v>1086</v>
      </c>
    </row>
    <row r="3" spans="1:12" s="503" customFormat="1" ht="51" customHeight="1">
      <c r="A3" s="497" t="s">
        <v>1087</v>
      </c>
      <c r="B3" s="497" t="s">
        <v>1088</v>
      </c>
      <c r="C3" s="498" t="s">
        <v>1089</v>
      </c>
      <c r="D3" s="497" t="s">
        <v>1090</v>
      </c>
      <c r="E3" s="499">
        <v>3</v>
      </c>
      <c r="F3" s="499">
        <v>4</v>
      </c>
      <c r="G3" s="500" t="s">
        <v>1091</v>
      </c>
      <c r="H3" s="501" t="s">
        <v>1092</v>
      </c>
      <c r="I3" s="502"/>
      <c r="J3" s="501"/>
    </row>
    <row r="4" spans="1:12" s="511" customFormat="1">
      <c r="A4" s="504">
        <v>52</v>
      </c>
      <c r="B4" s="504">
        <v>0</v>
      </c>
      <c r="C4" s="505" t="s">
        <v>1093</v>
      </c>
      <c r="D4" s="506">
        <v>7779320</v>
      </c>
      <c r="E4" s="506">
        <v>276511.43199999997</v>
      </c>
      <c r="F4" s="506">
        <v>275473.28099999996</v>
      </c>
      <c r="G4" s="507">
        <f>E4-F4</f>
        <v>1038.1510000000126</v>
      </c>
      <c r="H4" s="507"/>
      <c r="I4" s="508">
        <f>IF(D4&lt;0,D4,)</f>
        <v>0</v>
      </c>
      <c r="J4" s="509">
        <f t="shared" ref="J4:J26" si="0">IF(D4&gt;0,D4,)</f>
        <v>7779320</v>
      </c>
      <c r="K4" s="509"/>
      <c r="L4" s="510"/>
    </row>
    <row r="5" spans="1:12" s="511" customFormat="1">
      <c r="A5" s="504">
        <v>1</v>
      </c>
      <c r="B5" s="504">
        <v>0</v>
      </c>
      <c r="C5" s="505" t="s">
        <v>1094</v>
      </c>
      <c r="D5" s="506">
        <v>-42815848</v>
      </c>
      <c r="E5" s="506">
        <v>683808.32900000003</v>
      </c>
      <c r="F5" s="506">
        <v>674420.57499999995</v>
      </c>
      <c r="G5" s="507">
        <f>E5-F5</f>
        <v>9387.7540000000736</v>
      </c>
      <c r="H5" s="507"/>
      <c r="I5" s="508">
        <f>IF(D5&lt;0,D5,)</f>
        <v>-42815848</v>
      </c>
      <c r="J5" s="509">
        <f t="shared" si="0"/>
        <v>0</v>
      </c>
      <c r="K5" s="512"/>
      <c r="L5" s="510"/>
    </row>
    <row r="6" spans="1:12" s="511" customFormat="1">
      <c r="A6" s="504">
        <v>2</v>
      </c>
      <c r="B6" s="504">
        <v>0</v>
      </c>
      <c r="C6" s="505" t="s">
        <v>1095</v>
      </c>
      <c r="D6" s="506">
        <v>42006097</v>
      </c>
      <c r="E6" s="506">
        <v>664395.78300000005</v>
      </c>
      <c r="F6" s="506">
        <v>671041.12099999993</v>
      </c>
      <c r="G6" s="507"/>
      <c r="H6" s="507">
        <f>F6-E6</f>
        <v>6645.3379999998724</v>
      </c>
      <c r="I6" s="508">
        <f t="shared" ref="I6:I26" si="1">IF(D6&lt;0,D6,)</f>
        <v>0</v>
      </c>
      <c r="J6" s="509">
        <f t="shared" si="0"/>
        <v>42006097</v>
      </c>
      <c r="K6" s="512"/>
      <c r="L6" s="510"/>
    </row>
    <row r="7" spans="1:12" s="511" customFormat="1">
      <c r="A7" s="504">
        <v>3</v>
      </c>
      <c r="B7" s="504">
        <v>0</v>
      </c>
      <c r="C7" s="505" t="s">
        <v>1096</v>
      </c>
      <c r="D7" s="506">
        <v>-41423248</v>
      </c>
      <c r="E7" s="506">
        <v>677535.56099999999</v>
      </c>
      <c r="F7" s="506">
        <v>672630.42200000002</v>
      </c>
      <c r="G7" s="507">
        <f t="shared" ref="G7:G8" si="2">E7-F7</f>
        <v>4905.1389999999665</v>
      </c>
      <c r="H7" s="507"/>
      <c r="I7" s="508">
        <f t="shared" si="1"/>
        <v>-41423248</v>
      </c>
      <c r="J7" s="509">
        <f t="shared" si="0"/>
        <v>0</v>
      </c>
      <c r="K7" s="512"/>
      <c r="L7" s="510"/>
    </row>
    <row r="8" spans="1:12" s="511" customFormat="1">
      <c r="A8" s="504">
        <v>4</v>
      </c>
      <c r="B8" s="504">
        <v>0</v>
      </c>
      <c r="C8" s="505" t="s">
        <v>1097</v>
      </c>
      <c r="D8" s="506">
        <v>-45126146</v>
      </c>
      <c r="E8" s="506">
        <v>681286.72200000007</v>
      </c>
      <c r="F8" s="506">
        <v>675979.12100000004</v>
      </c>
      <c r="G8" s="507">
        <f t="shared" si="2"/>
        <v>5307.6010000000242</v>
      </c>
      <c r="H8" s="507"/>
      <c r="I8" s="508">
        <f t="shared" si="1"/>
        <v>-45126146</v>
      </c>
      <c r="J8" s="509">
        <f t="shared" si="0"/>
        <v>0</v>
      </c>
      <c r="K8" s="512"/>
      <c r="L8" s="510"/>
    </row>
    <row r="9" spans="1:12" s="511" customFormat="1">
      <c r="A9" s="504">
        <v>5</v>
      </c>
      <c r="B9" s="504">
        <v>0</v>
      </c>
      <c r="C9" s="505" t="s">
        <v>1098</v>
      </c>
      <c r="D9" s="506">
        <v>19364188</v>
      </c>
      <c r="E9" s="506">
        <v>657356.09000000008</v>
      </c>
      <c r="F9" s="506">
        <v>660767.72199999995</v>
      </c>
      <c r="G9" s="507"/>
      <c r="H9" s="507">
        <f t="shared" ref="H9:H16" si="3">F9-E9</f>
        <v>3411.6319999998668</v>
      </c>
      <c r="I9" s="508">
        <f t="shared" si="1"/>
        <v>0</v>
      </c>
      <c r="J9" s="509">
        <f t="shared" si="0"/>
        <v>19364188</v>
      </c>
      <c r="K9" s="512"/>
      <c r="L9" s="510"/>
    </row>
    <row r="10" spans="1:12" s="511" customFormat="1">
      <c r="A10" s="504">
        <v>6</v>
      </c>
      <c r="B10" s="504">
        <v>0</v>
      </c>
      <c r="C10" s="505" t="s">
        <v>1099</v>
      </c>
      <c r="D10" s="506">
        <v>-14772032</v>
      </c>
      <c r="E10" s="506">
        <v>671953.82900000003</v>
      </c>
      <c r="F10" s="506">
        <v>666458.44999999995</v>
      </c>
      <c r="G10" s="507">
        <f>E10-F10</f>
        <v>5495.3790000000736</v>
      </c>
      <c r="H10" s="507"/>
      <c r="I10" s="508">
        <f t="shared" si="1"/>
        <v>-14772032</v>
      </c>
      <c r="J10" s="509">
        <f t="shared" si="0"/>
        <v>0</v>
      </c>
      <c r="K10" s="512"/>
      <c r="L10" s="510"/>
    </row>
    <row r="11" spans="1:12" s="511" customFormat="1">
      <c r="A11" s="504">
        <v>7</v>
      </c>
      <c r="B11" s="504">
        <v>0</v>
      </c>
      <c r="C11" s="505" t="s">
        <v>1100</v>
      </c>
      <c r="D11" s="506">
        <v>2564985</v>
      </c>
      <c r="E11" s="506">
        <v>656346.13199999998</v>
      </c>
      <c r="F11" s="506">
        <v>649977.81200000003</v>
      </c>
      <c r="G11" s="507">
        <f>E11-F11</f>
        <v>6368.3199999999488</v>
      </c>
      <c r="H11" s="507"/>
      <c r="I11" s="508">
        <f t="shared" si="1"/>
        <v>0</v>
      </c>
      <c r="J11" s="509">
        <f t="shared" si="0"/>
        <v>2564985</v>
      </c>
      <c r="K11" s="512"/>
      <c r="L11" s="510"/>
    </row>
    <row r="12" spans="1:12" s="511" customFormat="1">
      <c r="A12" s="504">
        <v>8</v>
      </c>
      <c r="B12" s="504">
        <v>0</v>
      </c>
      <c r="C12" s="505" t="s">
        <v>1101</v>
      </c>
      <c r="D12" s="506">
        <v>-1347844</v>
      </c>
      <c r="E12" s="506">
        <v>647363.31500000006</v>
      </c>
      <c r="F12" s="506">
        <v>645264.26199999999</v>
      </c>
      <c r="G12" s="507">
        <f>E12-F12</f>
        <v>2099.0530000000726</v>
      </c>
      <c r="H12" s="507"/>
      <c r="I12" s="508">
        <f t="shared" si="1"/>
        <v>-1347844</v>
      </c>
      <c r="J12" s="509">
        <f t="shared" si="0"/>
        <v>0</v>
      </c>
      <c r="K12" s="512"/>
      <c r="L12" s="510"/>
    </row>
    <row r="13" spans="1:12" s="511" customFormat="1">
      <c r="A13" s="504">
        <v>9</v>
      </c>
      <c r="B13" s="504">
        <v>1</v>
      </c>
      <c r="C13" s="505" t="s">
        <v>1102</v>
      </c>
      <c r="D13" s="506">
        <v>-9760110</v>
      </c>
      <c r="E13" s="506">
        <v>655358.05300000007</v>
      </c>
      <c r="F13" s="506">
        <v>652320.05400000012</v>
      </c>
      <c r="G13" s="507">
        <f>E13-F13</f>
        <v>3037.9989999999525</v>
      </c>
      <c r="H13" s="507"/>
      <c r="I13" s="508">
        <f t="shared" si="1"/>
        <v>-9760110</v>
      </c>
      <c r="J13" s="509">
        <f t="shared" si="0"/>
        <v>0</v>
      </c>
      <c r="K13" s="512"/>
      <c r="L13" s="510"/>
    </row>
    <row r="14" spans="1:12" s="511" customFormat="1">
      <c r="A14" s="504">
        <v>10</v>
      </c>
      <c r="B14" s="504">
        <v>0</v>
      </c>
      <c r="C14" s="505" t="s">
        <v>1103</v>
      </c>
      <c r="D14" s="506">
        <v>51055811</v>
      </c>
      <c r="E14" s="506">
        <v>648567.57899999991</v>
      </c>
      <c r="F14" s="506">
        <v>655180.73100000003</v>
      </c>
      <c r="G14" s="507"/>
      <c r="H14" s="507">
        <f t="shared" si="3"/>
        <v>6613.1520000001183</v>
      </c>
      <c r="I14" s="508">
        <f t="shared" si="1"/>
        <v>0</v>
      </c>
      <c r="J14" s="509">
        <f t="shared" si="0"/>
        <v>51055811</v>
      </c>
      <c r="K14" s="512"/>
      <c r="L14" s="510"/>
    </row>
    <row r="15" spans="1:12" s="511" customFormat="1">
      <c r="A15" s="504">
        <v>11</v>
      </c>
      <c r="B15" s="504">
        <v>0</v>
      </c>
      <c r="C15" s="505" t="s">
        <v>1104</v>
      </c>
      <c r="D15" s="506">
        <v>45431176</v>
      </c>
      <c r="E15" s="506">
        <v>640271.42800000007</v>
      </c>
      <c r="F15" s="506">
        <v>643241.69799999997</v>
      </c>
      <c r="G15" s="507"/>
      <c r="H15" s="507">
        <f t="shared" si="3"/>
        <v>2970.2699999999022</v>
      </c>
      <c r="I15" s="508">
        <f t="shared" si="1"/>
        <v>0</v>
      </c>
      <c r="J15" s="509">
        <f t="shared" si="0"/>
        <v>45431176</v>
      </c>
      <c r="K15" s="512"/>
      <c r="L15" s="510"/>
    </row>
    <row r="16" spans="1:12" s="511" customFormat="1">
      <c r="A16" s="504">
        <v>12</v>
      </c>
      <c r="B16" s="504">
        <v>0</v>
      </c>
      <c r="C16" s="505" t="s">
        <v>1105</v>
      </c>
      <c r="D16" s="506">
        <v>35019216</v>
      </c>
      <c r="E16" s="506">
        <v>614781.39099999995</v>
      </c>
      <c r="F16" s="506">
        <v>615927.33600000001</v>
      </c>
      <c r="G16" s="507"/>
      <c r="H16" s="507">
        <f t="shared" si="3"/>
        <v>1145.9450000000652</v>
      </c>
      <c r="I16" s="508">
        <f t="shared" si="1"/>
        <v>0</v>
      </c>
      <c r="J16" s="509">
        <f t="shared" si="0"/>
        <v>35019216</v>
      </c>
      <c r="K16" s="512"/>
      <c r="L16" s="510"/>
    </row>
    <row r="17" spans="1:12" s="511" customFormat="1">
      <c r="A17" s="504">
        <v>13</v>
      </c>
      <c r="B17" s="504">
        <v>0</v>
      </c>
      <c r="C17" s="505" t="s">
        <v>1106</v>
      </c>
      <c r="D17" s="506">
        <v>11011411</v>
      </c>
      <c r="E17" s="506">
        <v>607108.26</v>
      </c>
      <c r="F17" s="506">
        <v>603926.27599999995</v>
      </c>
      <c r="G17" s="507">
        <f>E17-F17</f>
        <v>3181.9840000000549</v>
      </c>
      <c r="H17" s="507"/>
      <c r="I17" s="508">
        <f t="shared" si="1"/>
        <v>0</v>
      </c>
      <c r="J17" s="509">
        <f t="shared" si="0"/>
        <v>11011411</v>
      </c>
      <c r="K17" s="512"/>
      <c r="L17" s="510"/>
    </row>
    <row r="18" spans="1:12" s="511" customFormat="1">
      <c r="A18" s="504">
        <v>14</v>
      </c>
      <c r="B18" s="504">
        <v>0</v>
      </c>
      <c r="C18" s="505" t="s">
        <v>1206</v>
      </c>
      <c r="D18" s="506">
        <v>-3289954</v>
      </c>
      <c r="E18" s="506">
        <v>595553.47200000007</v>
      </c>
      <c r="F18" s="506">
        <v>586891.32999999996</v>
      </c>
      <c r="G18" s="507">
        <f>E18-F18</f>
        <v>8662.142000000109</v>
      </c>
      <c r="H18" s="507"/>
      <c r="I18" s="508">
        <f t="shared" si="1"/>
        <v>-3289954</v>
      </c>
      <c r="J18" s="509">
        <f t="shared" si="0"/>
        <v>0</v>
      </c>
      <c r="K18" s="512"/>
      <c r="L18" s="510"/>
    </row>
    <row r="19" spans="1:12" s="511" customFormat="1">
      <c r="A19" s="504">
        <v>15</v>
      </c>
      <c r="B19" s="504">
        <v>0</v>
      </c>
      <c r="C19" s="505" t="s">
        <v>1362</v>
      </c>
      <c r="D19" s="506">
        <v>-27425779</v>
      </c>
      <c r="E19" s="506">
        <v>573451.36</v>
      </c>
      <c r="F19" s="506">
        <v>562265.897</v>
      </c>
      <c r="G19" s="507">
        <f>E19-F19</f>
        <v>11185.462999999989</v>
      </c>
      <c r="H19" s="507"/>
      <c r="I19" s="508">
        <f t="shared" si="1"/>
        <v>-27425779</v>
      </c>
      <c r="J19" s="509">
        <f t="shared" si="0"/>
        <v>0</v>
      </c>
      <c r="K19" s="512"/>
      <c r="L19" s="510"/>
    </row>
    <row r="20" spans="1:12" s="511" customFormat="1">
      <c r="A20" s="504">
        <v>16</v>
      </c>
      <c r="B20" s="504">
        <v>0</v>
      </c>
      <c r="C20" s="505" t="s">
        <v>1363</v>
      </c>
      <c r="D20" s="506">
        <v>14871529</v>
      </c>
      <c r="E20" s="506">
        <v>598267.29300000006</v>
      </c>
      <c r="F20" s="506">
        <v>589934.64399999997</v>
      </c>
      <c r="G20" s="507">
        <f>E20-F20</f>
        <v>8332.6490000000922</v>
      </c>
      <c r="H20" s="507"/>
      <c r="I20" s="508">
        <f t="shared" si="1"/>
        <v>0</v>
      </c>
      <c r="J20" s="509">
        <f t="shared" si="0"/>
        <v>14871529</v>
      </c>
      <c r="K20" s="512"/>
      <c r="L20" s="510"/>
    </row>
    <row r="21" spans="1:12" s="511" customFormat="1">
      <c r="A21" s="504">
        <v>17</v>
      </c>
      <c r="B21" s="504">
        <v>0</v>
      </c>
      <c r="C21" s="505" t="s">
        <v>1364</v>
      </c>
      <c r="D21" s="506">
        <v>30006356</v>
      </c>
      <c r="E21" s="506">
        <v>610852.46100000001</v>
      </c>
      <c r="F21" s="506">
        <v>611951.78700000001</v>
      </c>
      <c r="G21" s="507"/>
      <c r="H21" s="507">
        <f t="shared" ref="H21:H26" si="4">F21-E21</f>
        <v>1099.3260000000009</v>
      </c>
      <c r="I21" s="508">
        <f t="shared" si="1"/>
        <v>0</v>
      </c>
      <c r="J21" s="509">
        <f t="shared" si="0"/>
        <v>30006356</v>
      </c>
      <c r="K21" s="512"/>
      <c r="L21" s="510"/>
    </row>
    <row r="22" spans="1:12" s="511" customFormat="1">
      <c r="A22" s="504">
        <v>18</v>
      </c>
      <c r="B22" s="504">
        <v>0</v>
      </c>
      <c r="C22" s="505" t="s">
        <v>1365</v>
      </c>
      <c r="D22" s="506">
        <v>44888237</v>
      </c>
      <c r="E22" s="506">
        <v>616884.88300000003</v>
      </c>
      <c r="F22" s="506">
        <v>623353.28500000003</v>
      </c>
      <c r="G22" s="507"/>
      <c r="H22" s="507">
        <f t="shared" si="4"/>
        <v>6468.4020000000019</v>
      </c>
      <c r="I22" s="508">
        <f t="shared" si="1"/>
        <v>0</v>
      </c>
      <c r="J22" s="509">
        <f t="shared" si="0"/>
        <v>44888237</v>
      </c>
      <c r="K22" s="512"/>
      <c r="L22" s="510"/>
    </row>
    <row r="23" spans="1:12" s="511" customFormat="1">
      <c r="A23" s="504">
        <v>19</v>
      </c>
      <c r="B23" s="504">
        <v>0</v>
      </c>
      <c r="C23" s="505" t="s">
        <v>1366</v>
      </c>
      <c r="D23" s="506">
        <v>17072185</v>
      </c>
      <c r="E23" s="506">
        <v>589248.08699999994</v>
      </c>
      <c r="F23" s="506">
        <v>588772.02599999995</v>
      </c>
      <c r="G23" s="507">
        <f t="shared" ref="G23:G25" si="5">E23-F23</f>
        <v>476.06099999998696</v>
      </c>
      <c r="H23" s="507"/>
      <c r="I23" s="508">
        <f t="shared" si="1"/>
        <v>0</v>
      </c>
      <c r="J23" s="509">
        <f t="shared" si="0"/>
        <v>17072185</v>
      </c>
      <c r="K23" s="512"/>
      <c r="L23" s="510"/>
    </row>
    <row r="24" spans="1:12" s="511" customFormat="1">
      <c r="A24" s="504">
        <v>20</v>
      </c>
      <c r="B24" s="504">
        <v>0</v>
      </c>
      <c r="C24" s="505" t="s">
        <v>1367</v>
      </c>
      <c r="D24" s="506">
        <v>-401482</v>
      </c>
      <c r="E24" s="506">
        <v>591170.08700000006</v>
      </c>
      <c r="F24" s="506">
        <v>580261.79500000004</v>
      </c>
      <c r="G24" s="507">
        <f t="shared" si="5"/>
        <v>10908.292000000016</v>
      </c>
      <c r="H24" s="507"/>
      <c r="I24" s="508">
        <f t="shared" si="1"/>
        <v>-401482</v>
      </c>
      <c r="J24" s="509">
        <f t="shared" si="0"/>
        <v>0</v>
      </c>
      <c r="K24" s="512"/>
      <c r="L24" s="510"/>
    </row>
    <row r="25" spans="1:12" s="511" customFormat="1">
      <c r="A25" s="504">
        <v>21</v>
      </c>
      <c r="B25" s="504">
        <v>0</v>
      </c>
      <c r="C25" s="505" t="s">
        <v>1368</v>
      </c>
      <c r="D25" s="506">
        <v>21560514</v>
      </c>
      <c r="E25" s="506">
        <v>627316.22399999993</v>
      </c>
      <c r="F25" s="506">
        <v>619709.03</v>
      </c>
      <c r="G25" s="507">
        <f t="shared" si="5"/>
        <v>7607.1939999999013</v>
      </c>
      <c r="H25" s="507"/>
      <c r="I25" s="508">
        <f t="shared" si="1"/>
        <v>0</v>
      </c>
      <c r="J25" s="509">
        <f t="shared" si="0"/>
        <v>21560514</v>
      </c>
      <c r="K25" s="512"/>
      <c r="L25" s="510"/>
    </row>
    <row r="26" spans="1:12" s="511" customFormat="1">
      <c r="A26" s="504">
        <v>22</v>
      </c>
      <c r="B26" s="504">
        <v>0</v>
      </c>
      <c r="C26" s="505" t="s">
        <v>1369</v>
      </c>
      <c r="D26" s="506">
        <v>101269748</v>
      </c>
      <c r="E26" s="506">
        <v>618303.929</v>
      </c>
      <c r="F26" s="506">
        <v>630464.20500000007</v>
      </c>
      <c r="G26" s="507"/>
      <c r="H26" s="507">
        <f t="shared" si="4"/>
        <v>12160.276000000071</v>
      </c>
      <c r="I26" s="508">
        <f t="shared" si="1"/>
        <v>0</v>
      </c>
      <c r="J26" s="509">
        <f t="shared" si="0"/>
        <v>101269748</v>
      </c>
      <c r="K26" s="512"/>
      <c r="L26" s="510"/>
    </row>
    <row r="27" spans="1:12" s="511" customFormat="1" ht="10.5" customHeight="1">
      <c r="A27" s="504"/>
      <c r="B27" s="504"/>
      <c r="C27" s="505"/>
      <c r="D27" s="506"/>
      <c r="E27" s="506"/>
      <c r="F27" s="506"/>
      <c r="G27" s="507"/>
      <c r="H27" s="507"/>
      <c r="I27" s="508"/>
      <c r="J27" s="509"/>
      <c r="K27" s="512"/>
      <c r="L27" s="510"/>
    </row>
    <row r="28" spans="1:12" s="511" customFormat="1" ht="10.5" customHeight="1">
      <c r="A28" s="504"/>
      <c r="B28" s="504"/>
      <c r="C28" s="505"/>
      <c r="D28" s="506"/>
      <c r="E28" s="506"/>
      <c r="F28" s="506"/>
      <c r="G28" s="507"/>
      <c r="H28" s="507"/>
      <c r="I28" s="508"/>
      <c r="J28" s="509"/>
      <c r="K28" s="512"/>
      <c r="L28" s="510"/>
    </row>
    <row r="29" spans="1:12" s="511" customFormat="1" ht="10.5" customHeight="1">
      <c r="A29" s="504"/>
      <c r="B29" s="504"/>
      <c r="C29" s="505"/>
      <c r="D29" s="506"/>
      <c r="E29" s="506"/>
      <c r="F29" s="506"/>
      <c r="G29" s="507"/>
      <c r="H29" s="507"/>
      <c r="I29" s="508"/>
      <c r="J29" s="509"/>
      <c r="K29" s="512"/>
      <c r="L29" s="510"/>
    </row>
    <row r="30" spans="1:12" ht="21" customHeight="1">
      <c r="A30" s="513"/>
      <c r="B30" s="513"/>
      <c r="C30" s="514"/>
      <c r="D30" s="515">
        <f t="shared" ref="D30:J30" si="6">SUM(D4:D26)</f>
        <v>257538330</v>
      </c>
      <c r="E30" s="515">
        <f t="shared" si="6"/>
        <v>14203691.699999997</v>
      </c>
      <c r="F30" s="515">
        <f t="shared" si="6"/>
        <v>14156212.860000001</v>
      </c>
      <c r="G30" s="515">
        <f t="shared" si="6"/>
        <v>87993.181000000273</v>
      </c>
      <c r="H30" s="515">
        <f t="shared" si="6"/>
        <v>40514.340999999898</v>
      </c>
      <c r="I30" s="515">
        <f t="shared" si="6"/>
        <v>-186362443</v>
      </c>
      <c r="J30" s="515">
        <f t="shared" si="6"/>
        <v>443900773</v>
      </c>
      <c r="K30" s="516"/>
    </row>
    <row r="31" spans="1:12" ht="18.75" customHeight="1">
      <c r="A31" s="517"/>
      <c r="B31" s="517"/>
      <c r="C31" s="513" t="s">
        <v>1107</v>
      </c>
      <c r="D31" s="518"/>
      <c r="E31" s="1188">
        <f>F30-E30</f>
        <v>-47478.839999996126</v>
      </c>
      <c r="F31" s="1189"/>
      <c r="G31" s="1190">
        <f>H30-G30</f>
        <v>-47478.840000000375</v>
      </c>
      <c r="H31" s="1191"/>
      <c r="I31" s="1192">
        <f>J30+I30</f>
        <v>257538330</v>
      </c>
      <c r="J31" s="1192"/>
      <c r="K31" s="516"/>
    </row>
    <row r="32" spans="1:12" ht="15.75">
      <c r="E32" s="506"/>
      <c r="F32" s="519"/>
      <c r="G32" s="520">
        <f>-+G30/1000</f>
        <v>-87.993181000000277</v>
      </c>
      <c r="H32" s="520">
        <f>+H30/1000</f>
        <v>40.514340999999895</v>
      </c>
      <c r="I32" s="521">
        <f>+I30/10^7</f>
        <v>-18.636244300000001</v>
      </c>
      <c r="J32" s="521">
        <f>+J30/10^7</f>
        <v>44.390077300000002</v>
      </c>
    </row>
    <row r="33" spans="1:11" ht="15.75">
      <c r="E33" s="519"/>
      <c r="F33" s="522"/>
      <c r="G33" s="523"/>
      <c r="H33" s="520">
        <f>E31-G31</f>
        <v>4.2491592466831207E-9</v>
      </c>
      <c r="I33" s="521"/>
      <c r="J33" s="524">
        <f>I31/10000000</f>
        <v>25.753833</v>
      </c>
      <c r="K33" s="525"/>
    </row>
    <row r="34" spans="1:11" ht="15.75">
      <c r="E34" s="519"/>
      <c r="F34" s="522"/>
      <c r="G34" s="523"/>
      <c r="H34" s="523">
        <f>D30-I31</f>
        <v>0</v>
      </c>
      <c r="I34" s="521"/>
      <c r="J34" s="521"/>
    </row>
    <row r="35" spans="1:11" ht="15.75">
      <c r="B35" s="526" t="s">
        <v>1108</v>
      </c>
      <c r="C35" s="1193" t="s">
        <v>1109</v>
      </c>
      <c r="D35" s="1193"/>
      <c r="E35" s="1193"/>
      <c r="F35" s="527"/>
      <c r="G35" s="528"/>
      <c r="H35" s="520"/>
      <c r="I35" s="521"/>
      <c r="J35" s="521"/>
    </row>
    <row r="36" spans="1:11" ht="15.75">
      <c r="B36" s="529"/>
      <c r="C36" s="1193" t="s">
        <v>1110</v>
      </c>
      <c r="D36" s="1193"/>
      <c r="E36" s="1193"/>
      <c r="F36" s="522"/>
      <c r="G36" s="221"/>
      <c r="H36" s="530"/>
      <c r="I36" s="530"/>
      <c r="J36" s="530"/>
    </row>
    <row r="37" spans="1:11" ht="15.75">
      <c r="A37" s="531"/>
      <c r="B37" s="529"/>
      <c r="C37" s="1193" t="s">
        <v>1111</v>
      </c>
      <c r="D37" s="1193"/>
      <c r="E37" s="1193"/>
      <c r="F37" s="532"/>
      <c r="G37" s="221"/>
      <c r="H37" s="1194"/>
      <c r="I37" s="1194"/>
      <c r="J37" s="533"/>
    </row>
    <row r="38" spans="1:11" ht="15.75">
      <c r="A38" s="531"/>
      <c r="B38" s="529"/>
      <c r="C38" s="1193"/>
      <c r="D38" s="1193"/>
      <c r="E38" s="1193"/>
      <c r="F38" s="534"/>
      <c r="G38" s="221"/>
      <c r="H38" s="1195"/>
      <c r="I38" s="1195"/>
      <c r="J38" s="533"/>
    </row>
    <row r="39" spans="1:11" ht="15.75">
      <c r="F39" s="536"/>
      <c r="J39" s="537"/>
    </row>
    <row r="40" spans="1:11" ht="15.75">
      <c r="F40" s="536"/>
      <c r="J40" s="537"/>
    </row>
    <row r="41" spans="1:11" ht="15.75">
      <c r="F41" s="1185"/>
      <c r="G41" s="1185"/>
      <c r="H41" s="1185"/>
      <c r="I41" s="1185"/>
    </row>
    <row r="42" spans="1:11" ht="15.75">
      <c r="J42" s="537"/>
    </row>
  </sheetData>
  <mergeCells count="12">
    <mergeCell ref="F41:I41"/>
    <mergeCell ref="A1:J1"/>
    <mergeCell ref="A2:D2"/>
    <mergeCell ref="E31:F31"/>
    <mergeCell ref="G31:H31"/>
    <mergeCell ref="I31:J31"/>
    <mergeCell ref="C35:E35"/>
    <mergeCell ref="C36:E36"/>
    <mergeCell ref="C37:E37"/>
    <mergeCell ref="H37:I37"/>
    <mergeCell ref="C38:E38"/>
    <mergeCell ref="H38:I38"/>
  </mergeCells>
  <pageMargins left="0.7" right="0.16" top="0.75" bottom="0.75" header="0.3" footer="0.3"/>
  <pageSetup paperSize="9"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3"/>
  <sheetViews>
    <sheetView view="pageBreakPreview" topLeftCell="A7" zoomScale="115" zoomScaleSheetLayoutView="115" workbookViewId="0">
      <selection activeCell="F30" sqref="F30"/>
    </sheetView>
  </sheetViews>
  <sheetFormatPr defaultRowHeight="15"/>
  <cols>
    <col min="1" max="1" width="28.85546875" style="287" customWidth="1"/>
    <col min="2" max="3" width="14.7109375" style="287" bestFit="1" customWidth="1"/>
    <col min="4" max="5" width="11.85546875" style="287" customWidth="1"/>
    <col min="6" max="6" width="14.42578125" style="287" customWidth="1"/>
    <col min="7" max="16384" width="9.140625" style="287"/>
  </cols>
  <sheetData>
    <row r="1" spans="1:8">
      <c r="A1" s="1196" t="s">
        <v>2</v>
      </c>
      <c r="B1" s="1196"/>
      <c r="C1" s="1196"/>
      <c r="D1" s="1196"/>
      <c r="E1" s="991"/>
    </row>
    <row r="2" spans="1:8">
      <c r="A2" s="994" t="s">
        <v>1655</v>
      </c>
      <c r="D2" s="288"/>
      <c r="E2" s="288"/>
      <c r="F2" s="288" t="s">
        <v>60</v>
      </c>
    </row>
    <row r="3" spans="1:8" ht="60" customHeight="1">
      <c r="A3" s="289" t="s">
        <v>1157</v>
      </c>
      <c r="B3" s="992" t="s">
        <v>1651</v>
      </c>
      <c r="C3" s="992" t="s">
        <v>1652</v>
      </c>
      <c r="D3" s="992" t="s">
        <v>1653</v>
      </c>
      <c r="E3" s="992" t="s">
        <v>1654</v>
      </c>
      <c r="F3" s="992" t="s">
        <v>1107</v>
      </c>
      <c r="G3" s="572"/>
      <c r="H3" s="572"/>
    </row>
    <row r="4" spans="1:8">
      <c r="A4" s="291" t="s">
        <v>1138</v>
      </c>
      <c r="B4" s="291">
        <v>78.09</v>
      </c>
      <c r="C4" s="292">
        <v>21.726800000000001</v>
      </c>
      <c r="D4" s="291">
        <v>74.214100000000002</v>
      </c>
      <c r="E4" s="291"/>
      <c r="F4" s="292">
        <f>SUM(B4:E4)</f>
        <v>174.0309</v>
      </c>
    </row>
    <row r="5" spans="1:8">
      <c r="A5" s="291" t="s">
        <v>1158</v>
      </c>
      <c r="B5" s="292">
        <v>7.0997000000000003</v>
      </c>
      <c r="C5" s="292">
        <v>13.9838</v>
      </c>
      <c r="D5" s="291">
        <v>7.0944000000000003</v>
      </c>
      <c r="E5" s="291"/>
      <c r="F5" s="292">
        <f t="shared" ref="F5:F6" si="0">SUM(B5:E5)</f>
        <v>28.177900000000001</v>
      </c>
    </row>
    <row r="6" spans="1:8">
      <c r="A6" s="291" t="s">
        <v>1159</v>
      </c>
      <c r="B6" s="291">
        <v>24.36</v>
      </c>
      <c r="C6" s="292">
        <v>20.963000000000001</v>
      </c>
      <c r="D6" s="291">
        <v>25.275700000000001</v>
      </c>
      <c r="E6" s="291"/>
      <c r="F6" s="292">
        <f t="shared" si="0"/>
        <v>70.598700000000008</v>
      </c>
    </row>
    <row r="7" spans="1:8">
      <c r="A7" s="291" t="s">
        <v>1160</v>
      </c>
      <c r="B7" s="291">
        <f>F7/4</f>
        <v>12.91</v>
      </c>
      <c r="C7" s="292">
        <f>B7</f>
        <v>12.91</v>
      </c>
      <c r="D7" s="292">
        <f>C7</f>
        <v>12.91</v>
      </c>
      <c r="E7" s="292">
        <f>D7</f>
        <v>12.91</v>
      </c>
      <c r="F7" s="292">
        <v>51.64</v>
      </c>
    </row>
    <row r="8" spans="1:8">
      <c r="A8" s="293" t="s">
        <v>1161</v>
      </c>
      <c r="B8" s="293">
        <f>SUM(B4:B7)</f>
        <v>122.4597</v>
      </c>
      <c r="C8" s="293">
        <f t="shared" ref="C8:F8" si="1">SUM(C4:C7)</f>
        <v>69.583600000000004</v>
      </c>
      <c r="D8" s="293">
        <f t="shared" si="1"/>
        <v>119.49420000000001</v>
      </c>
      <c r="E8" s="293">
        <f t="shared" si="1"/>
        <v>12.91</v>
      </c>
      <c r="F8" s="293">
        <f t="shared" si="1"/>
        <v>324.44749999999999</v>
      </c>
      <c r="G8" s="294"/>
      <c r="H8" s="294"/>
    </row>
    <row r="11" spans="1:8">
      <c r="A11" s="993" t="s">
        <v>1656</v>
      </c>
      <c r="B11" s="287">
        <v>122.98</v>
      </c>
      <c r="C11" s="287">
        <v>87.12</v>
      </c>
      <c r="D11" s="287">
        <v>163.55000000000001</v>
      </c>
      <c r="F11" s="292">
        <f t="shared" ref="F11" si="2">SUM(B11:E11)</f>
        <v>373.65000000000003</v>
      </c>
    </row>
    <row r="12" spans="1:8">
      <c r="A12" s="993"/>
    </row>
    <row r="14" spans="1:8">
      <c r="A14" s="1197" t="s">
        <v>2</v>
      </c>
      <c r="B14" s="1197"/>
      <c r="C14" s="1197"/>
      <c r="D14" s="1197"/>
      <c r="E14" s="993"/>
    </row>
    <row r="15" spans="1:8">
      <c r="A15" s="993" t="s">
        <v>1656</v>
      </c>
      <c r="B15" s="993"/>
      <c r="C15" s="993"/>
      <c r="D15" s="288" t="s">
        <v>60</v>
      </c>
      <c r="E15" s="993"/>
    </row>
    <row r="16" spans="1:8" ht="63">
      <c r="A16" s="289" t="s">
        <v>1157</v>
      </c>
      <c r="B16" s="290" t="s">
        <v>1651</v>
      </c>
      <c r="C16" s="290" t="s">
        <v>1652</v>
      </c>
      <c r="D16" s="290" t="s">
        <v>1653</v>
      </c>
      <c r="E16" s="290" t="s">
        <v>1654</v>
      </c>
      <c r="F16" s="290" t="s">
        <v>1107</v>
      </c>
    </row>
    <row r="17" spans="1:6">
      <c r="A17" s="995" t="s">
        <v>1138</v>
      </c>
      <c r="B17" s="995">
        <v>78.09</v>
      </c>
      <c r="C17" s="995">
        <v>30.47</v>
      </c>
      <c r="D17" s="995">
        <f>36.68+55.48</f>
        <v>92.16</v>
      </c>
      <c r="E17" s="995"/>
      <c r="F17" s="995">
        <f>SUM(B17:E17)</f>
        <v>200.72</v>
      </c>
    </row>
    <row r="18" spans="1:6">
      <c r="A18" s="995" t="s">
        <v>1158</v>
      </c>
      <c r="B18" s="996">
        <v>7.1</v>
      </c>
      <c r="C18" s="995">
        <v>25.29</v>
      </c>
      <c r="D18" s="995">
        <v>35.590000000000003</v>
      </c>
      <c r="E18" s="995"/>
      <c r="F18" s="995">
        <f t="shared" ref="F18:F20" si="3">SUM(B18:E18)</f>
        <v>67.98</v>
      </c>
    </row>
    <row r="19" spans="1:6">
      <c r="A19" s="995" t="s">
        <v>1159</v>
      </c>
      <c r="B19" s="995">
        <v>24.88</v>
      </c>
      <c r="C19" s="995">
        <v>22.17</v>
      </c>
      <c r="D19" s="995">
        <v>19.170000000000002</v>
      </c>
      <c r="E19" s="995"/>
      <c r="F19" s="995">
        <f t="shared" si="3"/>
        <v>66.22</v>
      </c>
    </row>
    <row r="20" spans="1:6">
      <c r="A20" s="995" t="s">
        <v>1160</v>
      </c>
      <c r="B20" s="995">
        <v>12.91</v>
      </c>
      <c r="C20" s="996">
        <v>9.19</v>
      </c>
      <c r="D20" s="996">
        <v>16.63</v>
      </c>
      <c r="E20" s="995"/>
      <c r="F20" s="995">
        <f t="shared" si="3"/>
        <v>38.730000000000004</v>
      </c>
    </row>
    <row r="21" spans="1:6">
      <c r="A21" s="293" t="s">
        <v>1161</v>
      </c>
      <c r="B21" s="293">
        <f>SUM(B17:B20)</f>
        <v>122.97999999999999</v>
      </c>
      <c r="C21" s="293">
        <f t="shared" ref="C21:E21" si="4">SUM(C17:C20)</f>
        <v>87.12</v>
      </c>
      <c r="D21" s="293">
        <f t="shared" si="4"/>
        <v>163.55000000000001</v>
      </c>
      <c r="E21" s="294">
        <f t="shared" si="4"/>
        <v>0</v>
      </c>
      <c r="F21" s="294">
        <f t="shared" ref="F21" si="5">SUM(F17:F20)</f>
        <v>373.65</v>
      </c>
    </row>
    <row r="23" spans="1:6">
      <c r="B23" s="997">
        <f>B21-B17-B18</f>
        <v>37.789999999999985</v>
      </c>
      <c r="C23" s="997">
        <f t="shared" ref="C23:F23" si="6">C21-C17-C18</f>
        <v>31.360000000000007</v>
      </c>
      <c r="D23" s="997">
        <f t="shared" si="6"/>
        <v>35.800000000000011</v>
      </c>
      <c r="E23" s="997">
        <f t="shared" si="6"/>
        <v>0</v>
      </c>
      <c r="F23" s="998">
        <f t="shared" si="6"/>
        <v>104.94999999999997</v>
      </c>
    </row>
  </sheetData>
  <mergeCells count="2">
    <mergeCell ref="A1:D1"/>
    <mergeCell ref="A14:D14"/>
  </mergeCells>
  <pageMargins left="0.7" right="0.7" top="0.75" bottom="0.75" header="0.3" footer="0.3"/>
  <pageSetup paperSize="9" scale="86" orientation="portrait" r:id="rId1"/>
  <colBreaks count="1" manualBreakCount="1">
    <brk id="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F30" sqref="F30"/>
    </sheetView>
  </sheetViews>
  <sheetFormatPr defaultRowHeight="12.75"/>
  <sheetData>
    <row r="1" spans="1:7">
      <c r="A1" s="571">
        <v>44896</v>
      </c>
      <c r="B1">
        <v>10928.48</v>
      </c>
      <c r="C1">
        <v>10515.66</v>
      </c>
      <c r="D1">
        <v>412.82</v>
      </c>
      <c r="E1">
        <v>3.78</v>
      </c>
    </row>
    <row r="2" spans="1:7">
      <c r="A2" s="571">
        <v>44866</v>
      </c>
      <c r="B2">
        <v>10586.82</v>
      </c>
      <c r="C2">
        <v>10200.19</v>
      </c>
      <c r="D2">
        <v>386.63</v>
      </c>
      <c r="E2">
        <v>3.65</v>
      </c>
    </row>
    <row r="3" spans="1:7">
      <c r="A3" s="571">
        <v>44835</v>
      </c>
      <c r="B3">
        <v>10487.26</v>
      </c>
      <c r="C3">
        <v>10091.950000000001</v>
      </c>
      <c r="D3">
        <v>395.31</v>
      </c>
      <c r="E3">
        <v>3.77</v>
      </c>
    </row>
    <row r="4" spans="1:7">
      <c r="A4" s="571">
        <v>44805</v>
      </c>
      <c r="B4">
        <v>9993.58</v>
      </c>
      <c r="C4">
        <v>9627.27</v>
      </c>
      <c r="D4">
        <v>366.31</v>
      </c>
      <c r="E4">
        <v>3.67</v>
      </c>
      <c r="F4">
        <f>+D4+D5+D6</f>
        <v>1073.5</v>
      </c>
    </row>
    <row r="5" spans="1:7">
      <c r="A5" s="571">
        <v>44774</v>
      </c>
      <c r="B5">
        <v>8740.98</v>
      </c>
      <c r="C5">
        <v>8386.2099999999991</v>
      </c>
      <c r="D5">
        <v>354.77</v>
      </c>
      <c r="E5">
        <v>4.0599999999999996</v>
      </c>
      <c r="F5">
        <f>+F4/4</f>
        <v>268.375</v>
      </c>
    </row>
    <row r="6" spans="1:7">
      <c r="A6" s="571">
        <v>44743</v>
      </c>
      <c r="B6">
        <v>8786.9</v>
      </c>
      <c r="C6">
        <v>8434.48</v>
      </c>
      <c r="D6">
        <v>352.42</v>
      </c>
      <c r="E6">
        <v>4.01</v>
      </c>
      <c r="F6">
        <f>+F5+80</f>
        <v>348.375</v>
      </c>
    </row>
    <row r="7" spans="1:7">
      <c r="A7" s="571">
        <v>44713</v>
      </c>
      <c r="B7">
        <v>10784.2</v>
      </c>
      <c r="C7">
        <v>10356.75</v>
      </c>
      <c r="D7">
        <v>427.45</v>
      </c>
      <c r="E7">
        <v>3.96</v>
      </c>
      <c r="F7">
        <f>361-80</f>
        <v>281</v>
      </c>
      <c r="G7">
        <f>+F7-F5</f>
        <v>12.625</v>
      </c>
    </row>
    <row r="8" spans="1:7">
      <c r="A8" s="571">
        <v>44682</v>
      </c>
      <c r="B8">
        <v>11557.55</v>
      </c>
      <c r="C8">
        <v>11075.24</v>
      </c>
      <c r="D8">
        <v>482.32</v>
      </c>
      <c r="E8">
        <v>4.17</v>
      </c>
      <c r="F8">
        <f>+F7*4</f>
        <v>1124</v>
      </c>
    </row>
    <row r="9" spans="1:7">
      <c r="A9" s="571">
        <v>44652</v>
      </c>
      <c r="B9">
        <v>11299.4</v>
      </c>
      <c r="C9">
        <v>10848.68</v>
      </c>
      <c r="D9">
        <v>450.72</v>
      </c>
      <c r="E9">
        <v>3.99</v>
      </c>
    </row>
    <row r="10" spans="1:7">
      <c r="E10">
        <f>AVERAGE(E1:E9)</f>
        <v>3.8955555555555557</v>
      </c>
    </row>
    <row r="15" spans="1:7">
      <c r="A15" t="s">
        <v>1424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388"/>
  <sheetViews>
    <sheetView topLeftCell="A547" workbookViewId="0">
      <selection activeCell="F30" sqref="F30"/>
    </sheetView>
  </sheetViews>
  <sheetFormatPr defaultRowHeight="15"/>
  <cols>
    <col min="1" max="1" width="5.7109375" style="60" customWidth="1"/>
    <col min="2" max="2" width="53" style="60" customWidth="1"/>
    <col min="3" max="3" width="18.7109375" style="60" bestFit="1" customWidth="1"/>
    <col min="4" max="4" width="19.7109375" style="60" bestFit="1" customWidth="1"/>
    <col min="5" max="5" width="20.28515625" style="60" customWidth="1"/>
    <col min="6" max="6" width="18.7109375" style="60" bestFit="1" customWidth="1"/>
    <col min="7" max="7" width="21.140625" style="404" bestFit="1" customWidth="1"/>
    <col min="8" max="8" width="9.140625" style="60"/>
    <col min="9" max="9" width="4.5703125" style="60" bestFit="1" customWidth="1"/>
    <col min="10" max="10" width="19.7109375" style="60" bestFit="1" customWidth="1"/>
    <col min="11" max="16384" width="9.140625" style="60"/>
  </cols>
  <sheetData>
    <row r="1" spans="1:10">
      <c r="A1"/>
    </row>
    <row r="2" spans="1:10">
      <c r="A2" t="s">
        <v>1290</v>
      </c>
      <c r="E2" s="61" t="s">
        <v>1295</v>
      </c>
      <c r="F2" s="61"/>
      <c r="G2" s="538"/>
    </row>
    <row r="3" spans="1:10">
      <c r="A3" t="s">
        <v>1291</v>
      </c>
    </row>
    <row r="4" spans="1:10">
      <c r="A4" s="405" t="s">
        <v>1292</v>
      </c>
      <c r="B4" s="62"/>
      <c r="C4" s="62"/>
    </row>
    <row r="5" spans="1:10">
      <c r="A5" t="s">
        <v>1293</v>
      </c>
    </row>
    <row r="6" spans="1:10">
      <c r="A6" t="s">
        <v>1294</v>
      </c>
    </row>
    <row r="7" spans="1:10">
      <c r="A7" s="62"/>
      <c r="B7" s="62"/>
      <c r="C7" s="62"/>
      <c r="D7" s="62"/>
      <c r="E7" s="62"/>
      <c r="F7" s="62"/>
    </row>
    <row r="8" spans="1:10">
      <c r="A8" t="s">
        <v>61</v>
      </c>
      <c r="B8" t="s">
        <v>62</v>
      </c>
      <c r="C8" s="402" t="s">
        <v>63</v>
      </c>
      <c r="D8" s="402" t="s">
        <v>64</v>
      </c>
      <c r="E8" t="s">
        <v>65</v>
      </c>
      <c r="F8" s="402" t="s">
        <v>66</v>
      </c>
    </row>
    <row r="9" spans="1:10">
      <c r="A9">
        <v>10</v>
      </c>
      <c r="B9" t="s">
        <v>67</v>
      </c>
      <c r="C9" s="402">
        <v>84752401577.440002</v>
      </c>
      <c r="D9" s="402">
        <v>2148687112.1700001</v>
      </c>
      <c r="E9" s="402">
        <v>9996913.6099999994</v>
      </c>
      <c r="F9" s="402">
        <v>86891091776</v>
      </c>
      <c r="G9" s="404">
        <f>(F9-C9)/(10^7)</f>
        <v>213.86901985599977</v>
      </c>
    </row>
    <row r="10" spans="1:10">
      <c r="A10">
        <v>11</v>
      </c>
      <c r="B10" t="s">
        <v>68</v>
      </c>
      <c r="C10" s="402">
        <v>0</v>
      </c>
      <c r="D10" s="402">
        <v>171440.04</v>
      </c>
      <c r="E10" s="402">
        <v>171440.04</v>
      </c>
      <c r="F10" s="402">
        <v>0</v>
      </c>
      <c r="G10" s="404">
        <f>(F13-C13)/(10^7)</f>
        <v>203.85882175999998</v>
      </c>
    </row>
    <row r="11" spans="1:10">
      <c r="A11">
        <v>12</v>
      </c>
      <c r="B11" t="s">
        <v>69</v>
      </c>
      <c r="C11" s="402">
        <v>-31013147606.029999</v>
      </c>
      <c r="D11" s="402">
        <v>42254290.039999999</v>
      </c>
      <c r="E11" s="402">
        <v>2933191088.1199999</v>
      </c>
      <c r="F11" s="402">
        <v>-33904084404.110001</v>
      </c>
      <c r="G11" s="404">
        <f>G9+G10</f>
        <v>417.72784161599975</v>
      </c>
    </row>
    <row r="12" spans="1:10">
      <c r="A12">
        <v>13</v>
      </c>
      <c r="B12" t="s">
        <v>70</v>
      </c>
      <c r="C12" s="402">
        <v>0</v>
      </c>
      <c r="D12" s="402">
        <v>86654.62</v>
      </c>
      <c r="E12" s="402">
        <v>86654.62</v>
      </c>
      <c r="F12" s="402">
        <v>0</v>
      </c>
      <c r="G12" s="404">
        <f>G11*1.15</f>
        <v>480.3870178583997</v>
      </c>
    </row>
    <row r="13" spans="1:10">
      <c r="A13">
        <v>14</v>
      </c>
      <c r="B13" t="s">
        <v>71</v>
      </c>
      <c r="C13" s="402">
        <v>969521104.85000002</v>
      </c>
      <c r="D13" s="402">
        <v>5671786642.75</v>
      </c>
      <c r="E13" s="402">
        <v>3633198425.1500001</v>
      </c>
      <c r="F13" s="402">
        <v>3008109322.4499998</v>
      </c>
    </row>
    <row r="14" spans="1:10">
      <c r="A14">
        <v>15</v>
      </c>
      <c r="B14" t="s">
        <v>72</v>
      </c>
      <c r="C14" s="402">
        <v>24786785.25</v>
      </c>
      <c r="D14" s="402">
        <v>792482436.04999995</v>
      </c>
      <c r="E14" s="402">
        <v>1031268161.65</v>
      </c>
      <c r="F14" s="402">
        <v>-213998940.34999999</v>
      </c>
      <c r="I14" s="60">
        <v>10</v>
      </c>
      <c r="J14" s="60">
        <f ca="1">+SUMIF(A9:F12,I14,F9:F12)</f>
        <v>86891091776</v>
      </c>
    </row>
    <row r="15" spans="1:10">
      <c r="A15">
        <v>16</v>
      </c>
      <c r="B15" t="s">
        <v>73</v>
      </c>
      <c r="C15" s="402">
        <v>0</v>
      </c>
      <c r="D15" s="402">
        <v>1291741.49</v>
      </c>
      <c r="E15" s="402">
        <v>2891582.38</v>
      </c>
      <c r="F15" s="402">
        <v>-1599840.89</v>
      </c>
    </row>
    <row r="16" spans="1:10">
      <c r="A16">
        <v>19</v>
      </c>
      <c r="B16" t="s">
        <v>74</v>
      </c>
      <c r="C16" s="402">
        <v>5112813.37</v>
      </c>
      <c r="D16" s="402">
        <v>384846669.5</v>
      </c>
      <c r="E16" s="402">
        <v>2611159.19</v>
      </c>
      <c r="F16" s="402">
        <v>387348323.68000001</v>
      </c>
    </row>
    <row r="17" spans="1:7">
      <c r="A17">
        <v>20</v>
      </c>
      <c r="B17" t="s">
        <v>75</v>
      </c>
      <c r="C17" s="402">
        <v>16509558.189999999</v>
      </c>
      <c r="D17" s="402">
        <v>5940388</v>
      </c>
      <c r="E17" s="402">
        <v>3763300</v>
      </c>
      <c r="F17" s="402">
        <v>18686646.190000001</v>
      </c>
    </row>
    <row r="18" spans="1:7">
      <c r="A18">
        <v>22</v>
      </c>
      <c r="B18" t="s">
        <v>76</v>
      </c>
      <c r="C18" s="402">
        <v>2188503096.4400001</v>
      </c>
      <c r="D18" s="402">
        <v>26320082636.869999</v>
      </c>
      <c r="E18" s="402">
        <v>23706364649.639999</v>
      </c>
      <c r="F18" s="402">
        <v>4802221083.6700001</v>
      </c>
      <c r="G18" s="404">
        <f>F18-C18</f>
        <v>2613717987.23</v>
      </c>
    </row>
    <row r="19" spans="1:7">
      <c r="A19">
        <v>23</v>
      </c>
      <c r="B19" t="s">
        <v>77</v>
      </c>
      <c r="C19" s="402">
        <v>12034894628.32</v>
      </c>
      <c r="D19" s="402">
        <v>380181940425.76001</v>
      </c>
      <c r="E19" s="402">
        <v>375960763843.46997</v>
      </c>
      <c r="F19" s="402">
        <v>16256071210.610001</v>
      </c>
    </row>
    <row r="20" spans="1:7">
      <c r="A20">
        <v>24</v>
      </c>
      <c r="B20" t="s">
        <v>78</v>
      </c>
      <c r="C20" s="402">
        <v>2047380948.8399999</v>
      </c>
      <c r="D20" s="402">
        <v>606860095231.32996</v>
      </c>
      <c r="E20" s="402">
        <v>525139093916.46002</v>
      </c>
      <c r="F20" s="402">
        <v>83768382263.710007</v>
      </c>
    </row>
    <row r="21" spans="1:7">
      <c r="A21">
        <v>25</v>
      </c>
      <c r="B21" t="s">
        <v>79</v>
      </c>
      <c r="C21" s="402">
        <v>21338584</v>
      </c>
      <c r="D21" s="402">
        <v>7879435</v>
      </c>
      <c r="E21" s="402">
        <v>370000</v>
      </c>
      <c r="F21" s="402">
        <v>28848019</v>
      </c>
    </row>
    <row r="22" spans="1:7">
      <c r="A22">
        <v>26</v>
      </c>
      <c r="B22" t="s">
        <v>80</v>
      </c>
      <c r="C22">
        <v>0</v>
      </c>
      <c r="D22" s="402">
        <v>13980</v>
      </c>
      <c r="E22" s="402">
        <v>13980</v>
      </c>
      <c r="F22" s="402">
        <v>0</v>
      </c>
    </row>
    <row r="23" spans="1:7">
      <c r="A23">
        <v>27</v>
      </c>
      <c r="B23" t="s">
        <v>81</v>
      </c>
      <c r="C23" s="402">
        <v>1630464110.22</v>
      </c>
      <c r="D23" s="402">
        <v>141623527.25999999</v>
      </c>
      <c r="E23" s="402">
        <v>78260967.819999993</v>
      </c>
      <c r="F23" s="402">
        <v>1693826669.6600001</v>
      </c>
    </row>
    <row r="24" spans="1:7">
      <c r="A24">
        <v>28</v>
      </c>
      <c r="B24" t="s">
        <v>82</v>
      </c>
      <c r="C24" s="402">
        <v>2114770154.3299999</v>
      </c>
      <c r="D24" s="402">
        <v>695008537.96000004</v>
      </c>
      <c r="E24" s="402">
        <v>1215434118.8099999</v>
      </c>
      <c r="F24" s="402">
        <v>1594344573.48</v>
      </c>
    </row>
    <row r="25" spans="1:7">
      <c r="A25">
        <v>29</v>
      </c>
      <c r="B25" t="s">
        <v>83</v>
      </c>
      <c r="C25" s="402">
        <v>13223003470.370001</v>
      </c>
      <c r="D25" s="402">
        <v>133478559046.39999</v>
      </c>
      <c r="E25" s="402">
        <v>120508097573.94</v>
      </c>
      <c r="F25" s="402">
        <v>26193464942.830002</v>
      </c>
    </row>
    <row r="26" spans="1:7">
      <c r="A26">
        <v>31</v>
      </c>
      <c r="B26" t="s">
        <v>84</v>
      </c>
      <c r="C26" s="402">
        <v>-10870818452.98</v>
      </c>
      <c r="D26">
        <v>0</v>
      </c>
      <c r="E26" s="402">
        <v>0</v>
      </c>
      <c r="F26" s="402">
        <v>-10870818452.98</v>
      </c>
    </row>
    <row r="27" spans="1:7">
      <c r="A27">
        <v>32</v>
      </c>
      <c r="B27" t="s">
        <v>85</v>
      </c>
      <c r="C27" s="402">
        <v>10870818452.98</v>
      </c>
      <c r="D27" s="402">
        <v>0</v>
      </c>
      <c r="E27">
        <v>0</v>
      </c>
      <c r="F27" s="402">
        <v>10870818452.98</v>
      </c>
    </row>
    <row r="28" spans="1:7">
      <c r="A28">
        <v>39</v>
      </c>
      <c r="B28" t="s">
        <v>86</v>
      </c>
      <c r="C28" s="402">
        <v>0</v>
      </c>
      <c r="D28" s="402">
        <v>330742143571.39001</v>
      </c>
      <c r="E28" s="402">
        <v>386705610570.92999</v>
      </c>
      <c r="F28" s="402">
        <v>-55963466999.540001</v>
      </c>
    </row>
    <row r="29" spans="1:7">
      <c r="A29">
        <v>41</v>
      </c>
      <c r="B29" t="s">
        <v>87</v>
      </c>
      <c r="C29" s="402">
        <v>-24718269.5</v>
      </c>
      <c r="D29" s="402">
        <v>24730953</v>
      </c>
      <c r="E29" s="402">
        <v>12683.5</v>
      </c>
      <c r="F29">
        <v>0</v>
      </c>
    </row>
    <row r="30" spans="1:7">
      <c r="A30">
        <v>42</v>
      </c>
      <c r="B30" t="s">
        <v>88</v>
      </c>
      <c r="C30" s="402">
        <v>-258186687.03</v>
      </c>
      <c r="D30" s="402">
        <v>219281431.34</v>
      </c>
      <c r="E30" s="402">
        <v>3824123.59</v>
      </c>
      <c r="F30" s="402">
        <v>-42729379.280000001</v>
      </c>
    </row>
    <row r="31" spans="1:7">
      <c r="A31">
        <v>43</v>
      </c>
      <c r="B31" t="s">
        <v>89</v>
      </c>
      <c r="C31" s="402">
        <v>-334235235.19</v>
      </c>
      <c r="D31" s="402">
        <v>12552563403.299999</v>
      </c>
      <c r="E31" s="402">
        <v>13594217982.82</v>
      </c>
      <c r="F31" s="402">
        <v>-1375889814.71</v>
      </c>
    </row>
    <row r="32" spans="1:7">
      <c r="A32">
        <v>44</v>
      </c>
      <c r="B32" t="s">
        <v>90</v>
      </c>
      <c r="C32" s="402">
        <v>-3285862487.1599998</v>
      </c>
      <c r="D32" s="402">
        <v>3688384305.79</v>
      </c>
      <c r="E32" s="402">
        <v>4001902203.1999998</v>
      </c>
      <c r="F32" s="402">
        <v>-3599380384.5700002</v>
      </c>
    </row>
    <row r="33" spans="1:11">
      <c r="A33">
        <v>45</v>
      </c>
      <c r="B33" t="s">
        <v>91</v>
      </c>
      <c r="C33" s="402">
        <v>-137666850.66</v>
      </c>
      <c r="D33" s="402">
        <v>44177083.810000002</v>
      </c>
      <c r="E33" s="402">
        <v>30370538.57</v>
      </c>
      <c r="F33" s="402">
        <v>-123860305.42</v>
      </c>
    </row>
    <row r="34" spans="1:11">
      <c r="A34">
        <v>46</v>
      </c>
      <c r="B34" t="s">
        <v>92</v>
      </c>
      <c r="C34" s="402">
        <v>-6146797833.1499996</v>
      </c>
      <c r="D34" s="402">
        <v>22575045109.490002</v>
      </c>
      <c r="E34" s="402">
        <v>29334839488.209999</v>
      </c>
      <c r="F34" s="402">
        <v>-12906592211.870001</v>
      </c>
    </row>
    <row r="35" spans="1:11">
      <c r="A35">
        <v>47</v>
      </c>
      <c r="B35" t="s">
        <v>93</v>
      </c>
      <c r="C35" s="402">
        <v>-2900917017.5300002</v>
      </c>
      <c r="D35" s="402">
        <v>1421989124.01</v>
      </c>
      <c r="E35" s="402">
        <v>4000320973.0900002</v>
      </c>
      <c r="F35" s="402">
        <v>-5479248866.6099997</v>
      </c>
    </row>
    <row r="36" spans="1:11">
      <c r="A36">
        <v>48</v>
      </c>
      <c r="B36" t="s">
        <v>94</v>
      </c>
      <c r="C36" s="402">
        <v>-23550586694.02</v>
      </c>
      <c r="D36" s="402">
        <v>1396248817.5899999</v>
      </c>
      <c r="E36" s="402">
        <v>3384534374.6500001</v>
      </c>
      <c r="F36" s="402">
        <v>-25538872251.080002</v>
      </c>
    </row>
    <row r="37" spans="1:11">
      <c r="A37">
        <v>49</v>
      </c>
      <c r="B37" t="s">
        <v>95</v>
      </c>
      <c r="C37" s="402">
        <v>-23215603</v>
      </c>
      <c r="D37" s="402">
        <v>0</v>
      </c>
      <c r="E37" s="402">
        <v>0</v>
      </c>
      <c r="F37" s="402">
        <v>-23215603</v>
      </c>
    </row>
    <row r="38" spans="1:11">
      <c r="A38">
        <v>50</v>
      </c>
      <c r="B38" t="s">
        <v>96</v>
      </c>
      <c r="C38" s="402">
        <v>67376024.230000004</v>
      </c>
      <c r="D38" s="402">
        <v>81991221062.550003</v>
      </c>
      <c r="E38" s="402">
        <v>81968718117.610001</v>
      </c>
      <c r="F38" s="402">
        <v>89878969.170000002</v>
      </c>
    </row>
    <row r="39" spans="1:11">
      <c r="A39">
        <v>51</v>
      </c>
      <c r="B39" t="s">
        <v>97</v>
      </c>
      <c r="C39" s="402">
        <v>-29379707</v>
      </c>
      <c r="D39" s="402">
        <v>0</v>
      </c>
      <c r="E39" s="402">
        <v>0</v>
      </c>
      <c r="F39" s="402">
        <v>-29379707</v>
      </c>
    </row>
    <row r="40" spans="1:11">
      <c r="A40">
        <v>52</v>
      </c>
      <c r="B40" t="s">
        <v>98</v>
      </c>
      <c r="C40" s="402">
        <v>-1471539</v>
      </c>
      <c r="D40" s="402">
        <v>90898</v>
      </c>
      <c r="E40" s="402">
        <v>0</v>
      </c>
      <c r="F40" s="402">
        <v>-1380641</v>
      </c>
    </row>
    <row r="41" spans="1:11">
      <c r="A41">
        <v>53</v>
      </c>
      <c r="B41" t="s">
        <v>99</v>
      </c>
      <c r="C41" s="402">
        <v>-209562076</v>
      </c>
      <c r="D41" s="402">
        <v>0</v>
      </c>
      <c r="E41" s="402">
        <v>0</v>
      </c>
      <c r="F41" s="402">
        <v>-209562076</v>
      </c>
    </row>
    <row r="42" spans="1:11">
      <c r="A42">
        <v>54</v>
      </c>
      <c r="B42" t="s">
        <v>100</v>
      </c>
      <c r="C42" s="402">
        <v>-40204194</v>
      </c>
      <c r="D42" s="402">
        <v>0</v>
      </c>
      <c r="E42" s="402">
        <v>0</v>
      </c>
      <c r="F42" s="402">
        <v>-40204194</v>
      </c>
    </row>
    <row r="43" spans="1:11">
      <c r="A43">
        <v>55</v>
      </c>
      <c r="B43" t="s">
        <v>101</v>
      </c>
      <c r="C43" s="402">
        <v>-22401268120.25</v>
      </c>
      <c r="D43" s="402">
        <v>20486397.25</v>
      </c>
      <c r="E43" s="402">
        <v>150540864.19999999</v>
      </c>
      <c r="F43" s="402">
        <v>-22531322587.200001</v>
      </c>
    </row>
    <row r="44" spans="1:11">
      <c r="A44">
        <v>58</v>
      </c>
      <c r="B44" t="s">
        <v>102</v>
      </c>
      <c r="C44" s="402">
        <v>-4930688729.3299999</v>
      </c>
      <c r="D44" s="402">
        <v>157871745179.35999</v>
      </c>
      <c r="E44" s="402">
        <v>157871745179.35999</v>
      </c>
      <c r="F44" s="402">
        <v>-4930688729.3299999</v>
      </c>
    </row>
    <row r="45" spans="1:11">
      <c r="A45">
        <v>59</v>
      </c>
      <c r="B45" t="s">
        <v>103</v>
      </c>
      <c r="C45" s="402">
        <v>-23808154207</v>
      </c>
      <c r="D45" s="402">
        <v>0</v>
      </c>
      <c r="E45" s="402">
        <v>2831720094</v>
      </c>
      <c r="F45" s="402">
        <v>-26639874301</v>
      </c>
    </row>
    <row r="46" spans="1:11">
      <c r="A46">
        <v>61</v>
      </c>
      <c r="B46" t="s">
        <v>104</v>
      </c>
      <c r="C46">
        <v>0</v>
      </c>
      <c r="D46" s="402">
        <v>246761445526.79001</v>
      </c>
      <c r="E46" s="402">
        <v>390782569284.53998</v>
      </c>
      <c r="F46" s="402">
        <v>-144021123757.75</v>
      </c>
      <c r="G46" s="404">
        <f>+H46-F51/10^7</f>
        <v>-14476.830108879998</v>
      </c>
      <c r="H46" s="60">
        <f>+J46/10^7</f>
        <v>-14475.279026753999</v>
      </c>
      <c r="J46" s="63">
        <f>+SUM(F46:F49)</f>
        <v>-144752790267.53998</v>
      </c>
      <c r="K46" s="403" t="s">
        <v>1286</v>
      </c>
    </row>
    <row r="47" spans="1:11">
      <c r="A47">
        <v>62</v>
      </c>
      <c r="B47" t="s">
        <v>105</v>
      </c>
      <c r="C47">
        <v>0</v>
      </c>
      <c r="D47" s="402">
        <v>95960714.200000003</v>
      </c>
      <c r="E47" s="402">
        <v>813888759.77999997</v>
      </c>
      <c r="F47" s="402">
        <v>-717928045.58000004</v>
      </c>
      <c r="G47" s="404">
        <f>+(F50+SUM(F52:F57))/10^7</f>
        <v>11356.026142278999</v>
      </c>
      <c r="H47" s="60">
        <f>+J47/10^7</f>
        <v>11357.577224405</v>
      </c>
      <c r="J47" s="63">
        <f>+SUM(F50:F57)</f>
        <v>113575772244.05</v>
      </c>
      <c r="K47" s="403" t="s">
        <v>1287</v>
      </c>
    </row>
    <row r="48" spans="1:11">
      <c r="A48">
        <v>64</v>
      </c>
      <c r="B48" t="s">
        <v>106</v>
      </c>
      <c r="C48" s="402">
        <v>0</v>
      </c>
      <c r="D48" s="402">
        <v>3896894.38</v>
      </c>
      <c r="E48" s="402">
        <v>17635358.59</v>
      </c>
      <c r="F48" s="402">
        <v>-13738464.210000001</v>
      </c>
      <c r="G48" s="404">
        <f>+'P&amp;L'!D36</f>
        <v>11356.026142279001</v>
      </c>
      <c r="H48" s="60">
        <f>+J48/10^7</f>
        <v>-3117.7018023489977</v>
      </c>
      <c r="J48" s="63">
        <f>+J46+J47</f>
        <v>-31177018023.489975</v>
      </c>
    </row>
    <row r="49" spans="1:10">
      <c r="A49">
        <v>65</v>
      </c>
      <c r="B49" t="s">
        <v>1210</v>
      </c>
      <c r="C49" s="402">
        <v>0</v>
      </c>
      <c r="D49" s="402">
        <v>205615</v>
      </c>
      <c r="E49" s="402">
        <v>205615</v>
      </c>
      <c r="F49" s="402">
        <v>0</v>
      </c>
      <c r="G49" s="404">
        <f>+G46+G48</f>
        <v>-3120.8039666009972</v>
      </c>
      <c r="H49" s="404">
        <f>+'P&amp;L'!D37</f>
        <v>3117.701802349</v>
      </c>
      <c r="J49" s="60">
        <f>+J48/10^7</f>
        <v>-3117.7018023489977</v>
      </c>
    </row>
    <row r="50" spans="1:10">
      <c r="A50">
        <v>70</v>
      </c>
      <c r="B50" t="s">
        <v>107</v>
      </c>
      <c r="C50" s="402">
        <v>0</v>
      </c>
      <c r="D50" s="402">
        <v>105316736838.14</v>
      </c>
      <c r="E50" s="402">
        <v>49820301.140000001</v>
      </c>
      <c r="F50" s="402">
        <v>105266916537</v>
      </c>
      <c r="H50" s="404">
        <f>+H49+H48</f>
        <v>0</v>
      </c>
    </row>
    <row r="51" spans="1:10">
      <c r="A51">
        <v>73</v>
      </c>
      <c r="B51" t="s">
        <v>108</v>
      </c>
      <c r="C51" s="402">
        <v>0</v>
      </c>
      <c r="D51" s="402">
        <v>17751172.239999998</v>
      </c>
      <c r="E51" s="402">
        <v>2240350.98</v>
      </c>
      <c r="F51" s="402">
        <v>15510821.26</v>
      </c>
      <c r="G51" s="404">
        <f>+F47+F48-F51</f>
        <v>-747177331.05000007</v>
      </c>
      <c r="H51" s="60">
        <f>+H50/2</f>
        <v>0</v>
      </c>
    </row>
    <row r="52" spans="1:10">
      <c r="A52">
        <v>74</v>
      </c>
      <c r="B52" t="s">
        <v>109</v>
      </c>
      <c r="C52" s="402">
        <v>0</v>
      </c>
      <c r="D52" s="402">
        <v>760914137.97000003</v>
      </c>
      <c r="E52" s="402">
        <v>274265798.83999997</v>
      </c>
      <c r="F52" s="402">
        <v>486648339.13</v>
      </c>
    </row>
    <row r="53" spans="1:10">
      <c r="A53">
        <v>75</v>
      </c>
      <c r="B53" t="s">
        <v>110</v>
      </c>
      <c r="C53" s="402">
        <v>0</v>
      </c>
      <c r="D53" s="402">
        <v>4353597710.7200003</v>
      </c>
      <c r="E53" s="402">
        <v>79179056.799999997</v>
      </c>
      <c r="F53" s="402">
        <v>4274418653.9200001</v>
      </c>
    </row>
    <row r="54" spans="1:10">
      <c r="A54">
        <v>76</v>
      </c>
      <c r="B54" t="s">
        <v>111</v>
      </c>
      <c r="C54" s="402">
        <v>0</v>
      </c>
      <c r="D54" s="402">
        <v>942924020.39999998</v>
      </c>
      <c r="E54" s="402">
        <v>206126866.93000001</v>
      </c>
      <c r="F54" s="402">
        <v>736797153.47000003</v>
      </c>
    </row>
    <row r="55" spans="1:10">
      <c r="A55">
        <v>77</v>
      </c>
      <c r="B55" t="s">
        <v>112</v>
      </c>
      <c r="C55" s="402">
        <v>0</v>
      </c>
      <c r="D55" s="402">
        <v>2891027002.48</v>
      </c>
      <c r="E55" s="402">
        <v>0</v>
      </c>
      <c r="F55" s="402">
        <v>2891027002.48</v>
      </c>
    </row>
    <row r="56" spans="1:10">
      <c r="A56">
        <v>78</v>
      </c>
      <c r="B56" t="s">
        <v>113</v>
      </c>
      <c r="C56" s="402">
        <v>0</v>
      </c>
      <c r="D56" s="402">
        <v>55351656.149999999</v>
      </c>
      <c r="E56" s="402">
        <v>167757625.41</v>
      </c>
      <c r="F56" s="402">
        <v>-112405969.26000001</v>
      </c>
    </row>
    <row r="57" spans="1:10">
      <c r="A57">
        <v>79</v>
      </c>
      <c r="B57" t="s">
        <v>114</v>
      </c>
      <c r="C57" s="402">
        <v>0</v>
      </c>
      <c r="D57" s="402">
        <v>18863147.890000001</v>
      </c>
      <c r="E57" s="402">
        <v>2003441.84</v>
      </c>
      <c r="F57" s="402">
        <v>16859706.050000001</v>
      </c>
    </row>
    <row r="58" spans="1:10">
      <c r="A58">
        <v>92</v>
      </c>
      <c r="B58" t="s">
        <v>115</v>
      </c>
      <c r="C58" s="402">
        <v>0</v>
      </c>
      <c r="D58" s="402">
        <v>40757153423.040001</v>
      </c>
      <c r="E58" s="402">
        <v>40757057963.040001</v>
      </c>
      <c r="F58" s="402">
        <v>95460</v>
      </c>
    </row>
    <row r="59" spans="1:10">
      <c r="A59">
        <v>101</v>
      </c>
      <c r="B59" t="s">
        <v>116</v>
      </c>
      <c r="C59" s="402">
        <v>722455214.75999999</v>
      </c>
      <c r="D59" s="402">
        <v>1599596</v>
      </c>
      <c r="E59" s="402">
        <v>690596</v>
      </c>
      <c r="F59" s="402">
        <v>723364214.75999999</v>
      </c>
    </row>
    <row r="60" spans="1:10">
      <c r="A60">
        <v>102</v>
      </c>
      <c r="B60" t="s">
        <v>117</v>
      </c>
      <c r="C60" s="402">
        <v>1221805916.5899999</v>
      </c>
      <c r="D60" s="402">
        <v>286129.86</v>
      </c>
      <c r="E60" s="402">
        <v>10000</v>
      </c>
      <c r="F60" s="402">
        <v>1222082046.45</v>
      </c>
    </row>
    <row r="61" spans="1:10">
      <c r="A61">
        <v>103</v>
      </c>
      <c r="B61" t="s">
        <v>118</v>
      </c>
      <c r="C61" s="402">
        <v>3268460.95</v>
      </c>
      <c r="D61" s="402">
        <v>0</v>
      </c>
      <c r="E61" s="402">
        <v>0</v>
      </c>
      <c r="F61" s="402">
        <v>3268460.95</v>
      </c>
    </row>
    <row r="62" spans="1:10">
      <c r="A62">
        <v>104</v>
      </c>
      <c r="B62" t="s">
        <v>119</v>
      </c>
      <c r="C62" s="402">
        <v>381444918.99000001</v>
      </c>
      <c r="D62" s="402">
        <v>12836995.26</v>
      </c>
      <c r="E62">
        <v>0.01</v>
      </c>
      <c r="F62" s="402">
        <v>394281914.24000001</v>
      </c>
    </row>
    <row r="63" spans="1:10">
      <c r="A63">
        <v>105</v>
      </c>
      <c r="B63" t="s">
        <v>120</v>
      </c>
      <c r="C63" s="402">
        <v>21271726649.040001</v>
      </c>
      <c r="D63" s="402">
        <v>606341511.78999996</v>
      </c>
      <c r="E63" s="402">
        <v>1542775.94</v>
      </c>
      <c r="F63" s="402">
        <v>21876525384.889999</v>
      </c>
    </row>
    <row r="64" spans="1:10">
      <c r="A64">
        <v>106</v>
      </c>
      <c r="B64" t="s">
        <v>121</v>
      </c>
      <c r="C64" s="402">
        <v>60229151220.260002</v>
      </c>
      <c r="D64" s="402">
        <v>1524583300.25</v>
      </c>
      <c r="E64" s="402">
        <v>7318771.5300000003</v>
      </c>
      <c r="F64" s="402">
        <v>61746415748.980003</v>
      </c>
    </row>
    <row r="65" spans="1:6">
      <c r="A65">
        <v>107</v>
      </c>
      <c r="B65" t="s">
        <v>122</v>
      </c>
      <c r="C65" s="402">
        <v>27417624.52</v>
      </c>
      <c r="D65" s="402">
        <v>105720.02</v>
      </c>
      <c r="E65" s="402">
        <v>205947.13</v>
      </c>
      <c r="F65" s="402">
        <v>27317397.41</v>
      </c>
    </row>
    <row r="66" spans="1:6">
      <c r="A66">
        <v>108</v>
      </c>
      <c r="B66" t="s">
        <v>123</v>
      </c>
      <c r="C66" s="402">
        <v>160418322.66999999</v>
      </c>
      <c r="D66" s="402">
        <v>1464891.53</v>
      </c>
      <c r="E66" s="402">
        <v>22680</v>
      </c>
      <c r="F66" s="402">
        <v>161860534.19999999</v>
      </c>
    </row>
    <row r="67" spans="1:6">
      <c r="A67">
        <v>109</v>
      </c>
      <c r="B67" t="s">
        <v>124</v>
      </c>
      <c r="C67" s="402">
        <v>734713249.65999997</v>
      </c>
      <c r="D67" s="402">
        <v>1468967.46</v>
      </c>
      <c r="E67" s="402">
        <v>206143</v>
      </c>
      <c r="F67" s="402">
        <v>735976074.12</v>
      </c>
    </row>
    <row r="68" spans="1:6">
      <c r="A68">
        <v>114</v>
      </c>
      <c r="B68" t="s">
        <v>125</v>
      </c>
      <c r="C68" s="402">
        <v>0</v>
      </c>
      <c r="D68" s="402">
        <v>171440.04</v>
      </c>
      <c r="E68" s="402">
        <v>171440.04</v>
      </c>
      <c r="F68" s="402">
        <v>0</v>
      </c>
    </row>
    <row r="69" spans="1:6">
      <c r="A69">
        <v>121</v>
      </c>
      <c r="B69" t="s">
        <v>126</v>
      </c>
      <c r="C69" s="402">
        <v>-1392134.29</v>
      </c>
      <c r="D69" s="402">
        <v>0</v>
      </c>
      <c r="E69" s="402">
        <v>156037.39000000001</v>
      </c>
      <c r="F69" s="402">
        <v>-1548171.68</v>
      </c>
    </row>
    <row r="70" spans="1:6">
      <c r="A70">
        <v>122</v>
      </c>
      <c r="B70" t="s">
        <v>127</v>
      </c>
      <c r="C70" s="402">
        <v>-251644503.03999999</v>
      </c>
      <c r="D70" s="402">
        <v>0</v>
      </c>
      <c r="E70" s="402">
        <v>30707872.120000001</v>
      </c>
      <c r="F70" s="402">
        <v>-282352375.16000003</v>
      </c>
    </row>
    <row r="71" spans="1:6">
      <c r="A71">
        <v>123</v>
      </c>
      <c r="B71" t="s">
        <v>128</v>
      </c>
      <c r="C71" s="402">
        <v>-2215138.6</v>
      </c>
      <c r="D71" s="402">
        <v>42019393.780000001</v>
      </c>
      <c r="E71" s="402">
        <v>42112931.119999997</v>
      </c>
      <c r="F71" s="402">
        <v>-2308675.94</v>
      </c>
    </row>
    <row r="72" spans="1:6">
      <c r="A72">
        <v>124</v>
      </c>
      <c r="B72" t="s">
        <v>129</v>
      </c>
      <c r="C72" s="402">
        <v>-90758631.590000004</v>
      </c>
      <c r="D72" s="402">
        <v>770</v>
      </c>
      <c r="E72" s="402">
        <v>9821931.8800000008</v>
      </c>
      <c r="F72" s="402">
        <v>-100579793.47</v>
      </c>
    </row>
    <row r="73" spans="1:6">
      <c r="A73">
        <v>125</v>
      </c>
      <c r="B73" t="s">
        <v>130</v>
      </c>
      <c r="C73" s="402">
        <v>-8030789748.5600004</v>
      </c>
      <c r="D73" s="402">
        <v>100594.55</v>
      </c>
      <c r="E73" s="402">
        <v>795798256.65999997</v>
      </c>
      <c r="F73" s="402">
        <v>-8826487410.6700001</v>
      </c>
    </row>
    <row r="74" spans="1:6">
      <c r="A74">
        <v>126</v>
      </c>
      <c r="B74" t="s">
        <v>131</v>
      </c>
      <c r="C74" s="402">
        <v>-21985877576.75</v>
      </c>
      <c r="D74" s="402">
        <v>0</v>
      </c>
      <c r="E74" s="402">
        <v>2029305091.6099999</v>
      </c>
      <c r="F74" s="402">
        <v>-24015182668.360001</v>
      </c>
    </row>
    <row r="75" spans="1:6">
      <c r="A75">
        <v>127</v>
      </c>
      <c r="B75" t="s">
        <v>132</v>
      </c>
      <c r="C75" s="402">
        <v>-20872959.489999998</v>
      </c>
      <c r="D75" s="402">
        <v>133531.71</v>
      </c>
      <c r="E75" s="402">
        <v>937410.4</v>
      </c>
      <c r="F75" s="402">
        <v>-21676838.18</v>
      </c>
    </row>
    <row r="76" spans="1:6">
      <c r="A76">
        <v>128</v>
      </c>
      <c r="B76" t="s">
        <v>133</v>
      </c>
      <c r="C76" s="402">
        <v>-78940276.680000007</v>
      </c>
      <c r="D76" s="402">
        <v>0</v>
      </c>
      <c r="E76" s="402">
        <v>6391556.4299999997</v>
      </c>
      <c r="F76" s="402">
        <v>-85331833.109999999</v>
      </c>
    </row>
    <row r="77" spans="1:6">
      <c r="A77">
        <v>129</v>
      </c>
      <c r="B77" t="s">
        <v>134</v>
      </c>
      <c r="C77" s="402">
        <v>-550656637.02999997</v>
      </c>
      <c r="D77" s="402">
        <v>0</v>
      </c>
      <c r="E77" s="402">
        <v>17960000.510000002</v>
      </c>
      <c r="F77" s="402">
        <v>-568616637.53999996</v>
      </c>
    </row>
    <row r="78" spans="1:6">
      <c r="A78">
        <v>134</v>
      </c>
      <c r="B78" t="s">
        <v>135</v>
      </c>
      <c r="C78" s="402">
        <v>0</v>
      </c>
      <c r="D78" s="402">
        <v>86654.62</v>
      </c>
      <c r="E78" s="402">
        <v>86654.62</v>
      </c>
      <c r="F78">
        <v>0</v>
      </c>
    </row>
    <row r="79" spans="1:6">
      <c r="A79">
        <v>140</v>
      </c>
      <c r="B79" t="s">
        <v>136</v>
      </c>
      <c r="C79" s="402">
        <v>15374253.970000001</v>
      </c>
      <c r="D79" s="402">
        <v>38640792.649999999</v>
      </c>
      <c r="E79" s="402">
        <v>19374710.079999998</v>
      </c>
      <c r="F79" s="402">
        <v>34640336.539999999</v>
      </c>
    </row>
    <row r="80" spans="1:6">
      <c r="A80">
        <v>141</v>
      </c>
      <c r="B80" t="s">
        <v>137</v>
      </c>
      <c r="C80">
        <v>0</v>
      </c>
      <c r="D80" s="402">
        <v>4940547.05</v>
      </c>
      <c r="E80" s="402">
        <v>4940547.05</v>
      </c>
      <c r="F80">
        <v>0</v>
      </c>
    </row>
    <row r="81" spans="1:6">
      <c r="A81">
        <v>143</v>
      </c>
      <c r="B81" t="s">
        <v>138</v>
      </c>
      <c r="C81" s="402">
        <v>0</v>
      </c>
      <c r="D81" s="402">
        <v>6566698</v>
      </c>
      <c r="E81" s="402">
        <v>6566698</v>
      </c>
      <c r="F81">
        <v>0</v>
      </c>
    </row>
    <row r="82" spans="1:6">
      <c r="A82">
        <v>144</v>
      </c>
      <c r="B82" t="s">
        <v>1211</v>
      </c>
      <c r="C82" s="402">
        <v>0</v>
      </c>
      <c r="D82" s="402">
        <v>548374.42000000004</v>
      </c>
      <c r="E82" s="402">
        <v>548374.42000000004</v>
      </c>
      <c r="F82" s="402">
        <v>0</v>
      </c>
    </row>
    <row r="83" spans="1:6">
      <c r="A83">
        <v>145</v>
      </c>
      <c r="B83" t="s">
        <v>139</v>
      </c>
      <c r="C83" s="402">
        <v>0</v>
      </c>
      <c r="D83" s="402">
        <v>93000.04</v>
      </c>
      <c r="E83" s="402">
        <v>93000.04</v>
      </c>
      <c r="F83" s="402">
        <v>0</v>
      </c>
    </row>
    <row r="84" spans="1:6">
      <c r="A84">
        <v>146</v>
      </c>
      <c r="B84" t="s">
        <v>140</v>
      </c>
      <c r="C84" s="402">
        <v>414789897.89999998</v>
      </c>
      <c r="D84" s="402">
        <v>1430409786.3599999</v>
      </c>
      <c r="E84" s="402">
        <v>1149809694.1400001</v>
      </c>
      <c r="F84" s="402">
        <v>695389990.12</v>
      </c>
    </row>
    <row r="85" spans="1:6">
      <c r="A85">
        <v>147</v>
      </c>
      <c r="B85" t="s">
        <v>141</v>
      </c>
      <c r="C85" s="402">
        <v>94807869.109999999</v>
      </c>
      <c r="D85" s="402">
        <v>694451439.17999995</v>
      </c>
      <c r="E85" s="402">
        <v>559121886.82000005</v>
      </c>
      <c r="F85" s="402">
        <v>230137421.47</v>
      </c>
    </row>
    <row r="86" spans="1:6">
      <c r="A86">
        <v>148</v>
      </c>
      <c r="B86" t="s">
        <v>141</v>
      </c>
      <c r="C86" s="402">
        <v>442378661.23000002</v>
      </c>
      <c r="D86" s="402">
        <v>3455315946.8200002</v>
      </c>
      <c r="E86" s="402">
        <v>1841642112.9300001</v>
      </c>
      <c r="F86" s="402">
        <v>2056052495.1199999</v>
      </c>
    </row>
    <row r="87" spans="1:6">
      <c r="A87">
        <v>149</v>
      </c>
      <c r="B87" t="s">
        <v>142</v>
      </c>
      <c r="C87" s="402">
        <v>2170422.64</v>
      </c>
      <c r="D87" s="402">
        <v>40820058.229999997</v>
      </c>
      <c r="E87" s="402">
        <v>51101401.670000002</v>
      </c>
      <c r="F87" s="402">
        <v>-8110920.7999999998</v>
      </c>
    </row>
    <row r="88" spans="1:6">
      <c r="A88">
        <v>152</v>
      </c>
      <c r="B88" t="s">
        <v>143</v>
      </c>
      <c r="C88" s="402">
        <v>0</v>
      </c>
      <c r="D88" s="402">
        <v>792482436.04999995</v>
      </c>
      <c r="E88" s="402">
        <v>1010438681.48</v>
      </c>
      <c r="F88" s="402">
        <v>-217956245.43000001</v>
      </c>
    </row>
    <row r="89" spans="1:6">
      <c r="A89">
        <v>155</v>
      </c>
      <c r="B89" t="s">
        <v>144</v>
      </c>
      <c r="C89" s="402">
        <v>24786785.25</v>
      </c>
      <c r="D89" s="402">
        <v>0</v>
      </c>
      <c r="E89" s="402">
        <v>20829480.170000002</v>
      </c>
      <c r="F89" s="402">
        <v>3957305.08</v>
      </c>
    </row>
    <row r="90" spans="1:6">
      <c r="A90">
        <v>161</v>
      </c>
      <c r="B90" t="s">
        <v>145</v>
      </c>
      <c r="C90" s="402">
        <v>0</v>
      </c>
      <c r="D90" s="402">
        <v>1291741.49</v>
      </c>
      <c r="E90" s="402">
        <v>2891582.38</v>
      </c>
      <c r="F90" s="402">
        <v>-1599840.89</v>
      </c>
    </row>
    <row r="91" spans="1:6">
      <c r="A91">
        <v>190</v>
      </c>
      <c r="B91" t="s">
        <v>146</v>
      </c>
      <c r="C91" s="402">
        <v>1369550.73</v>
      </c>
      <c r="D91" s="402">
        <v>166281.51999999999</v>
      </c>
      <c r="E91" s="402">
        <v>0</v>
      </c>
      <c r="F91" s="402">
        <v>1535832.25</v>
      </c>
    </row>
    <row r="92" spans="1:6">
      <c r="A92">
        <v>191</v>
      </c>
      <c r="B92" t="s">
        <v>146</v>
      </c>
      <c r="C92" s="402">
        <v>3743262.64</v>
      </c>
      <c r="D92" s="402">
        <v>375407308</v>
      </c>
      <c r="E92" s="402">
        <v>2310856.35</v>
      </c>
      <c r="F92" s="402">
        <v>376839714.29000002</v>
      </c>
    </row>
    <row r="93" spans="1:6">
      <c r="A93">
        <v>192</v>
      </c>
      <c r="B93" t="s">
        <v>1212</v>
      </c>
      <c r="C93" s="402">
        <v>0</v>
      </c>
      <c r="D93" s="402">
        <v>9273079.9800000004</v>
      </c>
      <c r="E93" s="402">
        <v>300302.84000000003</v>
      </c>
      <c r="F93" s="402">
        <v>8972777.1400000006</v>
      </c>
    </row>
    <row r="94" spans="1:6">
      <c r="A94">
        <v>202</v>
      </c>
      <c r="B94" t="s">
        <v>147</v>
      </c>
      <c r="C94" s="402">
        <v>16509558.189999999</v>
      </c>
      <c r="D94" s="402">
        <v>5940388</v>
      </c>
      <c r="E94" s="402">
        <v>3763300</v>
      </c>
      <c r="F94" s="402">
        <v>18686646.190000001</v>
      </c>
    </row>
    <row r="95" spans="1:6">
      <c r="A95">
        <v>222</v>
      </c>
      <c r="B95" t="s">
        <v>148</v>
      </c>
      <c r="C95" s="402">
        <v>0</v>
      </c>
      <c r="D95" s="402">
        <v>14813322308.26</v>
      </c>
      <c r="E95" s="402">
        <v>8243684767.8299999</v>
      </c>
      <c r="F95" s="402">
        <v>6569637540.4300003</v>
      </c>
    </row>
    <row r="96" spans="1:6">
      <c r="A96">
        <v>223</v>
      </c>
      <c r="B96" t="s">
        <v>149</v>
      </c>
      <c r="C96" s="402">
        <v>0</v>
      </c>
      <c r="D96" s="402">
        <v>5559370728.9399996</v>
      </c>
      <c r="E96" s="402">
        <v>9333838910.6599998</v>
      </c>
      <c r="F96" s="402">
        <v>-3774468181.7199998</v>
      </c>
    </row>
    <row r="97" spans="1:6">
      <c r="A97">
        <v>224</v>
      </c>
      <c r="B97" t="s">
        <v>150</v>
      </c>
      <c r="C97" s="402">
        <v>0</v>
      </c>
      <c r="D97" s="402">
        <v>3376516771.6199999</v>
      </c>
      <c r="E97" s="402">
        <v>3626307576.5999999</v>
      </c>
      <c r="F97" s="402">
        <v>-249790804.97999999</v>
      </c>
    </row>
    <row r="98" spans="1:6">
      <c r="A98">
        <v>225</v>
      </c>
      <c r="B98" t="s">
        <v>151</v>
      </c>
      <c r="C98" s="402">
        <v>0</v>
      </c>
      <c r="D98" s="402">
        <v>1284.04</v>
      </c>
      <c r="E98" s="402">
        <v>1037.8</v>
      </c>
      <c r="F98" s="402">
        <v>246.24</v>
      </c>
    </row>
    <row r="99" spans="1:6">
      <c r="A99">
        <v>226</v>
      </c>
      <c r="B99" t="s">
        <v>152</v>
      </c>
      <c r="C99" s="402">
        <v>1727259081.98</v>
      </c>
      <c r="D99" s="402">
        <v>732401008.95000005</v>
      </c>
      <c r="E99" s="402">
        <v>840646260.61000001</v>
      </c>
      <c r="F99" s="402">
        <v>1619013830.3199999</v>
      </c>
    </row>
    <row r="100" spans="1:6">
      <c r="A100">
        <v>227</v>
      </c>
      <c r="B100" t="s">
        <v>153</v>
      </c>
      <c r="C100" s="402">
        <v>460775358.45999998</v>
      </c>
      <c r="D100" s="402">
        <v>1838470535.0599999</v>
      </c>
      <c r="E100" s="402">
        <v>1661886096.1400001</v>
      </c>
      <c r="F100" s="402">
        <v>637359797.38</v>
      </c>
    </row>
    <row r="101" spans="1:6">
      <c r="A101">
        <v>228</v>
      </c>
      <c r="B101" t="s">
        <v>154</v>
      </c>
      <c r="C101" s="402">
        <v>468656</v>
      </c>
      <c r="D101" s="402">
        <v>0</v>
      </c>
      <c r="E101" s="402">
        <v>0</v>
      </c>
      <c r="F101" s="402">
        <v>468656</v>
      </c>
    </row>
    <row r="102" spans="1:6">
      <c r="A102">
        <v>231</v>
      </c>
      <c r="B102" t="s">
        <v>155</v>
      </c>
      <c r="C102" s="402">
        <v>-6184539360.9499998</v>
      </c>
      <c r="D102" s="402">
        <v>186724623658.66</v>
      </c>
      <c r="E102" s="402">
        <v>185105980168.39001</v>
      </c>
      <c r="F102" s="402">
        <v>-4565895870.6800003</v>
      </c>
    </row>
    <row r="103" spans="1:6">
      <c r="A103">
        <v>233</v>
      </c>
      <c r="B103" t="s">
        <v>156</v>
      </c>
      <c r="C103" s="402">
        <v>0</v>
      </c>
      <c r="D103" s="402">
        <v>188091488843.75</v>
      </c>
      <c r="E103" s="402">
        <v>173824213771.16</v>
      </c>
      <c r="F103" s="402">
        <v>14267275072.59</v>
      </c>
    </row>
    <row r="104" spans="1:6">
      <c r="A104">
        <v>234</v>
      </c>
      <c r="B104" t="s">
        <v>157</v>
      </c>
      <c r="C104" s="402">
        <v>18793550824.93</v>
      </c>
      <c r="D104" s="402">
        <v>274258293.79000002</v>
      </c>
      <c r="E104" s="402">
        <v>16626004090.219999</v>
      </c>
      <c r="F104" s="402">
        <v>2441805028.5</v>
      </c>
    </row>
    <row r="105" spans="1:6">
      <c r="A105">
        <v>235</v>
      </c>
      <c r="B105" t="s">
        <v>158</v>
      </c>
      <c r="C105" s="402">
        <v>3765753468.9699998</v>
      </c>
      <c r="D105" s="402">
        <v>4903469078.1700001</v>
      </c>
      <c r="E105" s="402">
        <v>294976081.44999999</v>
      </c>
      <c r="F105" s="402">
        <v>8374246465.6899996</v>
      </c>
    </row>
    <row r="106" spans="1:6">
      <c r="A106">
        <v>237</v>
      </c>
      <c r="B106" t="s">
        <v>159</v>
      </c>
      <c r="C106" s="402">
        <v>376250047.54000002</v>
      </c>
      <c r="D106" s="402">
        <v>188100551.38999999</v>
      </c>
      <c r="E106" s="402">
        <v>109589732.25</v>
      </c>
      <c r="F106" s="402">
        <v>454760866.68000001</v>
      </c>
    </row>
    <row r="107" spans="1:6">
      <c r="A107">
        <v>239</v>
      </c>
      <c r="B107" t="s">
        <v>160</v>
      </c>
      <c r="C107" s="402">
        <v>-4716120352.1700001</v>
      </c>
      <c r="D107" s="402">
        <v>0</v>
      </c>
      <c r="E107" s="402">
        <v>0</v>
      </c>
      <c r="F107" s="402">
        <v>-4716120352.1700001</v>
      </c>
    </row>
    <row r="108" spans="1:6">
      <c r="A108">
        <v>241</v>
      </c>
      <c r="B108" t="s">
        <v>161</v>
      </c>
      <c r="C108" s="402">
        <v>163515362.31</v>
      </c>
      <c r="D108" s="402">
        <v>38465130015.830002</v>
      </c>
      <c r="E108" s="402">
        <v>38304582990.919998</v>
      </c>
      <c r="F108" s="402">
        <v>324062387.22000003</v>
      </c>
    </row>
    <row r="109" spans="1:6">
      <c r="A109">
        <v>242</v>
      </c>
      <c r="B109" t="s">
        <v>162</v>
      </c>
      <c r="C109" s="402">
        <v>0</v>
      </c>
      <c r="D109" s="402">
        <v>14287823.199999999</v>
      </c>
      <c r="E109" s="402">
        <v>11235294.199999999</v>
      </c>
      <c r="F109" s="402">
        <v>3052529</v>
      </c>
    </row>
    <row r="110" spans="1:6">
      <c r="A110">
        <v>243</v>
      </c>
      <c r="B110" t="s">
        <v>163</v>
      </c>
      <c r="C110" s="402">
        <v>1793167867.8800001</v>
      </c>
      <c r="D110" s="402">
        <v>146961381346.51001</v>
      </c>
      <c r="E110" s="402">
        <v>123759233933.13</v>
      </c>
      <c r="F110" s="402">
        <v>24995315281.259998</v>
      </c>
    </row>
    <row r="111" spans="1:6">
      <c r="A111">
        <v>244</v>
      </c>
      <c r="B111" t="s">
        <v>164</v>
      </c>
      <c r="C111" s="402">
        <v>433794.73</v>
      </c>
      <c r="D111" s="402">
        <v>105362600906.95</v>
      </c>
      <c r="E111" s="402">
        <v>104700838032.39</v>
      </c>
      <c r="F111" s="402">
        <v>662196669.28999996</v>
      </c>
    </row>
    <row r="112" spans="1:6">
      <c r="A112">
        <v>245</v>
      </c>
      <c r="B112" t="s">
        <v>165</v>
      </c>
      <c r="C112" s="402">
        <v>90263923.920000002</v>
      </c>
      <c r="D112" s="402">
        <v>316056695138.84003</v>
      </c>
      <c r="E112" s="402">
        <v>258363203665.82001</v>
      </c>
      <c r="F112" s="402">
        <v>57783755396.940002</v>
      </c>
    </row>
    <row r="113" spans="1:6">
      <c r="A113">
        <v>255</v>
      </c>
      <c r="B113" t="s">
        <v>166</v>
      </c>
      <c r="C113" s="402">
        <v>21338584</v>
      </c>
      <c r="D113" s="402">
        <v>7879435</v>
      </c>
      <c r="E113" s="402">
        <v>370000</v>
      </c>
      <c r="F113" s="402">
        <v>28848019</v>
      </c>
    </row>
    <row r="114" spans="1:6">
      <c r="A114">
        <v>265</v>
      </c>
      <c r="B114" t="s">
        <v>167</v>
      </c>
      <c r="C114" s="402">
        <v>0</v>
      </c>
      <c r="D114" s="402">
        <v>13980</v>
      </c>
      <c r="E114" s="402">
        <v>13980</v>
      </c>
      <c r="F114" s="402">
        <v>0</v>
      </c>
    </row>
    <row r="115" spans="1:6">
      <c r="A115">
        <v>271</v>
      </c>
      <c r="B115" t="s">
        <v>168</v>
      </c>
      <c r="C115" s="402">
        <v>31557321.850000001</v>
      </c>
      <c r="D115" s="402">
        <v>7361319.5</v>
      </c>
      <c r="E115" s="402">
        <v>12172586.5</v>
      </c>
      <c r="F115" s="402">
        <v>26746054.850000001</v>
      </c>
    </row>
    <row r="116" spans="1:6">
      <c r="A116">
        <v>272</v>
      </c>
      <c r="B116" t="s">
        <v>169</v>
      </c>
      <c r="C116" s="402">
        <v>12792898.84</v>
      </c>
      <c r="D116" s="402">
        <v>101125983.48999999</v>
      </c>
      <c r="E116" s="402">
        <v>62724440.109999999</v>
      </c>
      <c r="F116" s="402">
        <v>51194442.219999999</v>
      </c>
    </row>
    <row r="117" spans="1:6">
      <c r="A117">
        <v>274</v>
      </c>
      <c r="B117" t="s">
        <v>170</v>
      </c>
      <c r="C117" s="402">
        <v>1584189175.0699999</v>
      </c>
      <c r="D117" s="402">
        <v>33036224.27</v>
      </c>
      <c r="E117" s="402">
        <v>3363941.21</v>
      </c>
      <c r="F117" s="402">
        <v>1613861458.1300001</v>
      </c>
    </row>
    <row r="118" spans="1:6">
      <c r="A118">
        <v>278</v>
      </c>
      <c r="B118" t="s">
        <v>171</v>
      </c>
      <c r="C118" s="402">
        <v>1924714.46</v>
      </c>
      <c r="D118" s="402">
        <v>100000</v>
      </c>
      <c r="E118">
        <v>0</v>
      </c>
      <c r="F118" s="402">
        <v>2024714.46</v>
      </c>
    </row>
    <row r="119" spans="1:6">
      <c r="A119">
        <v>282</v>
      </c>
      <c r="B119" t="s">
        <v>172</v>
      </c>
      <c r="C119" s="402">
        <v>5759829.2999999998</v>
      </c>
      <c r="D119" s="402">
        <v>4720275.42</v>
      </c>
      <c r="E119" s="402">
        <v>4648098.17</v>
      </c>
      <c r="F119" s="402">
        <v>5832006.5499999998</v>
      </c>
    </row>
    <row r="120" spans="1:6">
      <c r="A120">
        <v>283</v>
      </c>
      <c r="B120" t="s">
        <v>173</v>
      </c>
      <c r="C120" s="402">
        <v>41934654.170000002</v>
      </c>
      <c r="D120" s="402">
        <v>3725124.02</v>
      </c>
      <c r="E120" s="402">
        <v>9326320.1999999993</v>
      </c>
      <c r="F120" s="402">
        <v>36333457.990000002</v>
      </c>
    </row>
    <row r="121" spans="1:6">
      <c r="A121">
        <v>284</v>
      </c>
      <c r="B121" t="s">
        <v>174</v>
      </c>
      <c r="C121" s="402">
        <v>898169.16</v>
      </c>
      <c r="D121" s="402">
        <v>380204.46</v>
      </c>
      <c r="E121" s="402">
        <v>570817.74</v>
      </c>
      <c r="F121" s="402">
        <v>707555.88</v>
      </c>
    </row>
    <row r="122" spans="1:6">
      <c r="A122">
        <v>285</v>
      </c>
      <c r="B122" t="s">
        <v>175</v>
      </c>
      <c r="C122" s="402">
        <v>0</v>
      </c>
      <c r="D122">
        <v>200</v>
      </c>
      <c r="E122" s="402">
        <v>200</v>
      </c>
      <c r="F122">
        <v>0</v>
      </c>
    </row>
    <row r="123" spans="1:6">
      <c r="A123">
        <v>286</v>
      </c>
      <c r="B123" t="s">
        <v>176</v>
      </c>
      <c r="C123" s="402">
        <v>909160117.46000004</v>
      </c>
      <c r="D123" s="402">
        <v>670246439.58000004</v>
      </c>
      <c r="E123" s="402">
        <v>66297569.799999997</v>
      </c>
      <c r="F123" s="402">
        <v>1513108987.24</v>
      </c>
    </row>
    <row r="124" spans="1:6">
      <c r="A124">
        <v>288</v>
      </c>
      <c r="B124" t="s">
        <v>177</v>
      </c>
      <c r="C124" s="402">
        <v>1144105492.72</v>
      </c>
      <c r="D124" s="402">
        <v>9053212</v>
      </c>
      <c r="E124" s="402">
        <v>1133755931.9000001</v>
      </c>
      <c r="F124" s="402">
        <v>19402772.82</v>
      </c>
    </row>
    <row r="125" spans="1:6">
      <c r="A125">
        <v>289</v>
      </c>
      <c r="B125" t="s">
        <v>178</v>
      </c>
      <c r="C125" s="402">
        <v>12911891.52</v>
      </c>
      <c r="D125" s="402">
        <v>6883082.4800000004</v>
      </c>
      <c r="E125" s="402">
        <v>835181</v>
      </c>
      <c r="F125" s="402">
        <v>18959793</v>
      </c>
    </row>
    <row r="126" spans="1:6">
      <c r="A126">
        <v>299</v>
      </c>
      <c r="B126" t="s">
        <v>83</v>
      </c>
      <c r="C126" s="402">
        <v>16327858737.030001</v>
      </c>
      <c r="D126" s="402">
        <v>133478559046.39999</v>
      </c>
      <c r="E126" s="402">
        <v>120508097573.94</v>
      </c>
      <c r="F126" s="402">
        <v>29298320209.490002</v>
      </c>
    </row>
    <row r="127" spans="1:6">
      <c r="A127">
        <v>391</v>
      </c>
      <c r="B127" t="s">
        <v>179</v>
      </c>
      <c r="C127">
        <v>0</v>
      </c>
      <c r="D127" s="402">
        <v>32411.21</v>
      </c>
      <c r="E127" s="402">
        <v>0</v>
      </c>
      <c r="F127" s="402">
        <v>32411.21</v>
      </c>
    </row>
    <row r="128" spans="1:6">
      <c r="A128">
        <v>394</v>
      </c>
      <c r="B128" t="s">
        <v>179</v>
      </c>
      <c r="C128" s="402">
        <v>-21427953816.130001</v>
      </c>
      <c r="D128" s="402">
        <v>156295867443.17001</v>
      </c>
      <c r="E128" s="402">
        <v>153343775495.51001</v>
      </c>
      <c r="F128" s="402">
        <v>-18475861868.470001</v>
      </c>
    </row>
    <row r="129" spans="1:6">
      <c r="A129">
        <v>395</v>
      </c>
      <c r="B129" t="s">
        <v>179</v>
      </c>
      <c r="C129">
        <v>0</v>
      </c>
      <c r="D129" s="402">
        <v>0</v>
      </c>
      <c r="E129" s="402">
        <v>498316.73</v>
      </c>
      <c r="F129" s="402">
        <v>-498316.73</v>
      </c>
    </row>
    <row r="130" spans="1:6">
      <c r="A130">
        <v>396</v>
      </c>
      <c r="B130" t="s">
        <v>179</v>
      </c>
      <c r="C130" s="402">
        <v>-50398546285.760002</v>
      </c>
      <c r="D130" s="402">
        <v>47886183415.25</v>
      </c>
      <c r="E130" s="402">
        <v>46812608129.870003</v>
      </c>
      <c r="F130" s="402">
        <v>-49324971000.379997</v>
      </c>
    </row>
    <row r="131" spans="1:6">
      <c r="A131">
        <v>397</v>
      </c>
      <c r="B131" t="s">
        <v>179</v>
      </c>
      <c r="C131" s="402">
        <v>-726857848.39999998</v>
      </c>
      <c r="D131" s="402">
        <v>2637528721.25</v>
      </c>
      <c r="E131" s="402">
        <v>1641147689.6300001</v>
      </c>
      <c r="F131" s="402">
        <v>269523183.22000003</v>
      </c>
    </row>
    <row r="132" spans="1:6">
      <c r="A132">
        <v>399</v>
      </c>
      <c r="B132" t="s">
        <v>179</v>
      </c>
      <c r="C132" s="402">
        <v>73919173179.639999</v>
      </c>
      <c r="D132" s="402">
        <v>123922531580.50999</v>
      </c>
      <c r="E132" s="402">
        <v>184907580939.19</v>
      </c>
      <c r="F132" s="402">
        <v>12934123820.959999</v>
      </c>
    </row>
    <row r="133" spans="1:6">
      <c r="A133">
        <v>411</v>
      </c>
      <c r="B133" t="s">
        <v>180</v>
      </c>
      <c r="C133" s="402">
        <v>-17558428</v>
      </c>
      <c r="D133" s="402">
        <v>17559201</v>
      </c>
      <c r="E133" s="402">
        <v>773</v>
      </c>
      <c r="F133" s="402">
        <v>0</v>
      </c>
    </row>
    <row r="134" spans="1:6">
      <c r="A134">
        <v>413</v>
      </c>
      <c r="B134" t="s">
        <v>181</v>
      </c>
      <c r="C134" s="402">
        <v>-7159841.5</v>
      </c>
      <c r="D134" s="402">
        <v>7171752</v>
      </c>
      <c r="E134" s="402">
        <v>11910.5</v>
      </c>
      <c r="F134" s="402">
        <v>0</v>
      </c>
    </row>
    <row r="135" spans="1:6">
      <c r="A135">
        <v>421</v>
      </c>
      <c r="B135" t="s">
        <v>182</v>
      </c>
      <c r="C135" s="402">
        <v>-54572</v>
      </c>
      <c r="D135" s="402">
        <v>54572</v>
      </c>
      <c r="E135" s="402">
        <v>0</v>
      </c>
      <c r="F135" s="402">
        <v>0</v>
      </c>
    </row>
    <row r="136" spans="1:6">
      <c r="A136">
        <v>426</v>
      </c>
      <c r="B136" t="s">
        <v>183</v>
      </c>
      <c r="C136" s="402">
        <v>-258132115.03</v>
      </c>
      <c r="D136" s="402">
        <v>219226859.34</v>
      </c>
      <c r="E136" s="402">
        <v>3824123.59</v>
      </c>
      <c r="F136" s="402">
        <v>-42729379.280000001</v>
      </c>
    </row>
    <row r="137" spans="1:6">
      <c r="A137">
        <v>431</v>
      </c>
      <c r="B137" t="s">
        <v>184</v>
      </c>
      <c r="C137" s="402">
        <v>-254716674.75</v>
      </c>
      <c r="D137" s="402">
        <v>6106296235.9700003</v>
      </c>
      <c r="E137" s="402">
        <v>7227469384.9300003</v>
      </c>
      <c r="F137" s="402">
        <v>-1375889823.71</v>
      </c>
    </row>
    <row r="138" spans="1:6">
      <c r="A138">
        <v>432</v>
      </c>
      <c r="B138" t="s">
        <v>185</v>
      </c>
      <c r="C138">
        <v>0</v>
      </c>
      <c r="D138" s="402">
        <v>6055881498.3000002</v>
      </c>
      <c r="E138" s="402">
        <v>6055881498.3000002</v>
      </c>
      <c r="F138" s="402">
        <v>0</v>
      </c>
    </row>
    <row r="139" spans="1:6">
      <c r="A139">
        <v>435</v>
      </c>
      <c r="B139" t="s">
        <v>186</v>
      </c>
      <c r="C139">
        <v>0</v>
      </c>
      <c r="D139" s="402">
        <v>310867108.13</v>
      </c>
      <c r="E139" s="402">
        <v>310867099.13</v>
      </c>
      <c r="F139" s="402">
        <v>9</v>
      </c>
    </row>
    <row r="140" spans="1:6">
      <c r="A140">
        <v>436</v>
      </c>
      <c r="B140" t="s">
        <v>187</v>
      </c>
      <c r="C140" s="402">
        <v>-79518560.439999998</v>
      </c>
      <c r="D140" s="402">
        <v>79518560.900000006</v>
      </c>
      <c r="E140" s="402">
        <v>0.46</v>
      </c>
      <c r="F140" s="402">
        <v>0</v>
      </c>
    </row>
    <row r="141" spans="1:6">
      <c r="A141">
        <v>441</v>
      </c>
      <c r="B141" t="s">
        <v>188</v>
      </c>
      <c r="C141" s="402">
        <v>-3251682513.1500001</v>
      </c>
      <c r="D141" s="402">
        <v>10631916</v>
      </c>
      <c r="E141" s="402">
        <v>1486494</v>
      </c>
      <c r="F141" s="402">
        <v>-3242537091.1500001</v>
      </c>
    </row>
    <row r="142" spans="1:6">
      <c r="A142">
        <v>442</v>
      </c>
      <c r="B142" t="s">
        <v>189</v>
      </c>
      <c r="C142" s="402">
        <v>-16455214.43</v>
      </c>
      <c r="D142" s="402">
        <v>0</v>
      </c>
      <c r="E142" s="402">
        <v>3380881</v>
      </c>
      <c r="F142" s="402">
        <v>-19836095.43</v>
      </c>
    </row>
    <row r="143" spans="1:6">
      <c r="A143">
        <v>443</v>
      </c>
      <c r="B143" t="s">
        <v>190</v>
      </c>
      <c r="C143" s="402">
        <v>-109073</v>
      </c>
      <c r="D143" s="402">
        <v>2245806603</v>
      </c>
      <c r="E143" s="402">
        <v>2506761579</v>
      </c>
      <c r="F143" s="402">
        <v>-261064049</v>
      </c>
    </row>
    <row r="144" spans="1:6">
      <c r="A144">
        <v>444</v>
      </c>
      <c r="B144" t="s">
        <v>191</v>
      </c>
      <c r="C144" s="402">
        <v>-17615686.579999998</v>
      </c>
      <c r="D144" s="402">
        <v>1431945786.79</v>
      </c>
      <c r="E144" s="402">
        <v>1490273249.2</v>
      </c>
      <c r="F144" s="402">
        <v>-75943148.989999995</v>
      </c>
    </row>
    <row r="145" spans="1:6">
      <c r="A145">
        <v>451</v>
      </c>
      <c r="B145" t="s">
        <v>192</v>
      </c>
      <c r="C145" s="402">
        <v>-12799343.529999999</v>
      </c>
      <c r="D145" s="402">
        <v>6511704.8099999996</v>
      </c>
      <c r="E145" s="402">
        <v>4530517.57</v>
      </c>
      <c r="F145" s="402">
        <v>-10818156.289999999</v>
      </c>
    </row>
    <row r="146" spans="1:6">
      <c r="A146">
        <v>452</v>
      </c>
      <c r="B146" t="s">
        <v>193</v>
      </c>
      <c r="C146" s="402">
        <v>-124867507.13</v>
      </c>
      <c r="D146" s="402">
        <v>37665379</v>
      </c>
      <c r="E146" s="402">
        <v>25840021</v>
      </c>
      <c r="F146" s="402">
        <v>-113042149.13</v>
      </c>
    </row>
    <row r="147" spans="1:6">
      <c r="A147">
        <v>461</v>
      </c>
      <c r="B147" t="s">
        <v>194</v>
      </c>
      <c r="C147" s="402">
        <v>-994960229.07000005</v>
      </c>
      <c r="D147" s="402">
        <v>327339660.58999997</v>
      </c>
      <c r="E147" s="402">
        <v>474697648.18000001</v>
      </c>
      <c r="F147" s="402">
        <v>-1142318216.6600001</v>
      </c>
    </row>
    <row r="148" spans="1:6">
      <c r="A148">
        <v>462</v>
      </c>
      <c r="B148" t="s">
        <v>195</v>
      </c>
      <c r="C148">
        <v>0</v>
      </c>
      <c r="D148" s="402">
        <v>0</v>
      </c>
      <c r="E148" s="402">
        <v>445330000</v>
      </c>
      <c r="F148" s="402">
        <v>-445330000</v>
      </c>
    </row>
    <row r="149" spans="1:6">
      <c r="A149">
        <v>463</v>
      </c>
      <c r="B149" t="s">
        <v>196</v>
      </c>
      <c r="C149" s="402">
        <v>-1436026845.73</v>
      </c>
      <c r="D149" s="402">
        <v>12998855484.24</v>
      </c>
      <c r="E149" s="402">
        <v>20269508605.049999</v>
      </c>
      <c r="F149" s="402">
        <v>-8706679966.5400009</v>
      </c>
    </row>
    <row r="150" spans="1:6">
      <c r="A150">
        <v>464</v>
      </c>
      <c r="B150" t="s">
        <v>197</v>
      </c>
      <c r="C150" s="402">
        <v>-375524495.77999997</v>
      </c>
      <c r="D150" s="402">
        <v>7648094495.4399996</v>
      </c>
      <c r="E150" s="402">
        <v>5739853695.1400003</v>
      </c>
      <c r="F150" s="402">
        <v>1532716304.52</v>
      </c>
    </row>
    <row r="151" spans="1:6">
      <c r="A151">
        <v>467</v>
      </c>
      <c r="B151" t="s">
        <v>198</v>
      </c>
      <c r="C151" s="402">
        <v>-6515548</v>
      </c>
      <c r="D151" s="402">
        <v>8049</v>
      </c>
      <c r="E151" s="402">
        <v>8049</v>
      </c>
      <c r="F151" s="402">
        <v>-6515548</v>
      </c>
    </row>
    <row r="152" spans="1:6">
      <c r="A152">
        <v>468</v>
      </c>
      <c r="B152" t="s">
        <v>199</v>
      </c>
      <c r="C152" s="402">
        <v>-799672626.98000002</v>
      </c>
      <c r="D152" s="402">
        <v>0</v>
      </c>
      <c r="E152" s="402">
        <v>0</v>
      </c>
      <c r="F152" s="402">
        <v>-799672626.98000002</v>
      </c>
    </row>
    <row r="153" spans="1:6">
      <c r="A153">
        <v>469</v>
      </c>
      <c r="B153" t="s">
        <v>200</v>
      </c>
      <c r="C153" s="402">
        <v>-2534098087.5900002</v>
      </c>
      <c r="D153" s="402">
        <v>1600747420.22</v>
      </c>
      <c r="E153" s="402">
        <v>2405441490.8400002</v>
      </c>
      <c r="F153" s="402">
        <v>-3338792158.21</v>
      </c>
    </row>
    <row r="154" spans="1:6">
      <c r="A154">
        <v>471</v>
      </c>
      <c r="B154" t="s">
        <v>201</v>
      </c>
      <c r="C154" s="402">
        <v>-55026862</v>
      </c>
      <c r="D154" s="402">
        <v>477150.1</v>
      </c>
      <c r="E154" s="402">
        <v>2883950.1</v>
      </c>
      <c r="F154" s="402">
        <v>-57433662</v>
      </c>
    </row>
    <row r="155" spans="1:6">
      <c r="A155">
        <v>472</v>
      </c>
      <c r="B155" t="s">
        <v>202</v>
      </c>
      <c r="C155" s="402">
        <v>-17000000</v>
      </c>
      <c r="D155" s="402">
        <v>0</v>
      </c>
      <c r="E155" s="402">
        <v>0</v>
      </c>
      <c r="F155" s="402">
        <v>-17000000</v>
      </c>
    </row>
    <row r="156" spans="1:6">
      <c r="A156">
        <v>473</v>
      </c>
      <c r="B156" t="s">
        <v>203</v>
      </c>
      <c r="C156" s="402">
        <v>-2825533673.8200002</v>
      </c>
      <c r="D156" s="402">
        <v>1419647934.9100001</v>
      </c>
      <c r="E156" s="402">
        <v>3989883507.5900002</v>
      </c>
      <c r="F156" s="402">
        <v>-5395769246.5</v>
      </c>
    </row>
    <row r="157" spans="1:6">
      <c r="A157">
        <v>476</v>
      </c>
      <c r="B157" t="s">
        <v>204</v>
      </c>
      <c r="C157" s="402">
        <v>-3356481.71</v>
      </c>
      <c r="D157" s="402">
        <v>1864039</v>
      </c>
      <c r="E157" s="402">
        <v>7553515.4000000004</v>
      </c>
      <c r="F157" s="402">
        <v>-9045958.1099999994</v>
      </c>
    </row>
    <row r="158" spans="1:6">
      <c r="A158">
        <v>481</v>
      </c>
      <c r="B158" t="s">
        <v>205</v>
      </c>
      <c r="C158" s="402">
        <v>-22791196424.099998</v>
      </c>
      <c r="D158" s="402">
        <v>726002857.82000005</v>
      </c>
      <c r="E158" s="402">
        <v>3347396334.6500001</v>
      </c>
      <c r="F158" s="402">
        <v>-25412589900.93</v>
      </c>
    </row>
    <row r="159" spans="1:6">
      <c r="A159">
        <v>483</v>
      </c>
      <c r="B159" t="s">
        <v>206</v>
      </c>
      <c r="C159" s="402">
        <v>-759390269.91999996</v>
      </c>
      <c r="D159" s="402">
        <v>670245959.76999998</v>
      </c>
      <c r="E159" s="402">
        <v>37138040</v>
      </c>
      <c r="F159" s="402">
        <v>-126282350.15000001</v>
      </c>
    </row>
    <row r="160" spans="1:6">
      <c r="A160">
        <v>491</v>
      </c>
      <c r="B160" t="s">
        <v>95</v>
      </c>
      <c r="C160" s="402">
        <v>-23215603</v>
      </c>
      <c r="D160" s="402">
        <v>0</v>
      </c>
      <c r="E160">
        <v>0</v>
      </c>
      <c r="F160" s="402">
        <v>-23215603</v>
      </c>
    </row>
    <row r="161" spans="1:6">
      <c r="A161">
        <v>501</v>
      </c>
      <c r="B161" t="s">
        <v>207</v>
      </c>
      <c r="C161" s="402">
        <v>67376024.230000004</v>
      </c>
      <c r="D161" s="402">
        <v>81991221062.550003</v>
      </c>
      <c r="E161" s="402">
        <v>81968718117.610001</v>
      </c>
      <c r="F161" s="402">
        <v>89878969.170000002</v>
      </c>
    </row>
    <row r="162" spans="1:6">
      <c r="A162">
        <v>512</v>
      </c>
      <c r="B162" t="s">
        <v>208</v>
      </c>
      <c r="C162" s="402">
        <v>-29379707</v>
      </c>
      <c r="D162" s="402">
        <v>0</v>
      </c>
      <c r="E162" s="402">
        <v>0</v>
      </c>
      <c r="F162" s="402">
        <v>-29379707</v>
      </c>
    </row>
    <row r="163" spans="1:6">
      <c r="A163">
        <v>526</v>
      </c>
      <c r="B163" t="s">
        <v>209</v>
      </c>
      <c r="C163" s="402">
        <v>-1471539</v>
      </c>
      <c r="D163" s="402">
        <v>90898</v>
      </c>
      <c r="E163" s="402">
        <v>0</v>
      </c>
      <c r="F163" s="402">
        <v>-1380641</v>
      </c>
    </row>
    <row r="164" spans="1:6">
      <c r="A164">
        <v>534</v>
      </c>
      <c r="B164" t="s">
        <v>210</v>
      </c>
      <c r="C164" s="402">
        <v>-209562076</v>
      </c>
      <c r="D164" s="402">
        <v>0</v>
      </c>
      <c r="E164">
        <v>0</v>
      </c>
      <c r="F164" s="402">
        <v>-209562076</v>
      </c>
    </row>
    <row r="165" spans="1:6">
      <c r="A165">
        <v>542</v>
      </c>
      <c r="B165" t="s">
        <v>211</v>
      </c>
      <c r="C165" s="402">
        <v>-40204194</v>
      </c>
      <c r="D165" s="402">
        <v>0</v>
      </c>
      <c r="E165" s="402">
        <v>0</v>
      </c>
      <c r="F165" s="402">
        <v>-40204194</v>
      </c>
    </row>
    <row r="166" spans="1:6">
      <c r="A166">
        <v>551</v>
      </c>
      <c r="B166" t="s">
        <v>212</v>
      </c>
      <c r="C166" s="402">
        <v>-44613136.880000003</v>
      </c>
      <c r="D166" s="402">
        <v>199405</v>
      </c>
      <c r="E166" s="402">
        <v>0</v>
      </c>
      <c r="F166" s="402">
        <v>-44413731.880000003</v>
      </c>
    </row>
    <row r="167" spans="1:6">
      <c r="A167">
        <v>552</v>
      </c>
      <c r="B167" t="s">
        <v>213</v>
      </c>
      <c r="C167" s="402">
        <v>-3041286261.4400001</v>
      </c>
      <c r="D167" s="402">
        <v>0</v>
      </c>
      <c r="E167" s="402">
        <v>0</v>
      </c>
      <c r="F167" s="402">
        <v>-3041286261.4400001</v>
      </c>
    </row>
    <row r="168" spans="1:6">
      <c r="A168">
        <v>553</v>
      </c>
      <c r="B168" t="s">
        <v>214</v>
      </c>
      <c r="C168" s="402">
        <v>-2207475012.3000002</v>
      </c>
      <c r="D168" s="402">
        <v>0</v>
      </c>
      <c r="E168" s="402">
        <v>0</v>
      </c>
      <c r="F168" s="402">
        <v>-2207475012.3000002</v>
      </c>
    </row>
    <row r="169" spans="1:6">
      <c r="A169">
        <v>555</v>
      </c>
      <c r="B169" t="s">
        <v>215</v>
      </c>
      <c r="C169" s="402">
        <v>-17107893709.629999</v>
      </c>
      <c r="D169" s="402">
        <v>20286992.25</v>
      </c>
      <c r="E169" s="402">
        <v>150540864.19999999</v>
      </c>
      <c r="F169" s="402">
        <v>-17238147581.580002</v>
      </c>
    </row>
    <row r="170" spans="1:6">
      <c r="A170">
        <v>581</v>
      </c>
      <c r="B170" t="s">
        <v>216</v>
      </c>
      <c r="C170" s="402">
        <v>-965188234.48000002</v>
      </c>
      <c r="D170" s="402">
        <v>157871745179.35999</v>
      </c>
      <c r="E170" s="402">
        <v>156906556944.88</v>
      </c>
      <c r="F170" s="402">
        <v>0</v>
      </c>
    </row>
    <row r="171" spans="1:6">
      <c r="A171">
        <v>582</v>
      </c>
      <c r="B171" t="s">
        <v>217</v>
      </c>
      <c r="C171" s="402">
        <v>-3965500494.8499999</v>
      </c>
      <c r="D171" s="402">
        <v>0</v>
      </c>
      <c r="E171" s="402">
        <v>965188234.48000002</v>
      </c>
      <c r="F171" s="402">
        <v>-4930688729.3299999</v>
      </c>
    </row>
    <row r="172" spans="1:6">
      <c r="A172">
        <v>591</v>
      </c>
      <c r="B172" t="s">
        <v>103</v>
      </c>
      <c r="C172" s="402">
        <v>-4899175240</v>
      </c>
      <c r="D172" s="402">
        <v>0</v>
      </c>
      <c r="E172" s="402">
        <v>2831720094</v>
      </c>
      <c r="F172" s="402">
        <v>-7730895334</v>
      </c>
    </row>
    <row r="173" spans="1:6">
      <c r="A173">
        <v>592</v>
      </c>
      <c r="B173" t="s">
        <v>218</v>
      </c>
      <c r="C173" s="402">
        <v>-18908978967</v>
      </c>
      <c r="D173" s="402">
        <v>0</v>
      </c>
      <c r="E173" s="402">
        <v>0</v>
      </c>
      <c r="F173" s="402">
        <v>-18908978967</v>
      </c>
    </row>
    <row r="174" spans="1:6">
      <c r="A174">
        <v>611</v>
      </c>
      <c r="B174" t="s">
        <v>1213</v>
      </c>
      <c r="C174" s="402">
        <v>0</v>
      </c>
      <c r="D174" s="402">
        <v>1118</v>
      </c>
      <c r="E174" s="402">
        <v>1118</v>
      </c>
      <c r="F174" s="402">
        <v>0</v>
      </c>
    </row>
    <row r="175" spans="1:6">
      <c r="A175">
        <v>612</v>
      </c>
      <c r="B175" t="s">
        <v>219</v>
      </c>
      <c r="C175" s="402">
        <v>0</v>
      </c>
      <c r="D175" s="402">
        <v>220108993753.03</v>
      </c>
      <c r="E175" s="402">
        <v>358804348736.41998</v>
      </c>
      <c r="F175" s="402">
        <v>-138695354983.39001</v>
      </c>
    </row>
    <row r="176" spans="1:6">
      <c r="A176">
        <v>615</v>
      </c>
      <c r="B176" t="s">
        <v>220</v>
      </c>
      <c r="C176" s="402">
        <v>0</v>
      </c>
      <c r="D176" s="402">
        <v>21616779299.32</v>
      </c>
      <c r="E176" s="402">
        <v>21616779299.32</v>
      </c>
      <c r="F176" s="402">
        <v>0</v>
      </c>
    </row>
    <row r="177" spans="1:6">
      <c r="A177">
        <v>616</v>
      </c>
      <c r="B177" t="s">
        <v>221</v>
      </c>
      <c r="C177" s="402">
        <v>0</v>
      </c>
      <c r="D177" s="402">
        <v>85630.35</v>
      </c>
      <c r="E177" s="402">
        <v>130475.51</v>
      </c>
      <c r="F177" s="402">
        <v>-44845.16</v>
      </c>
    </row>
    <row r="178" spans="1:6">
      <c r="A178">
        <v>617</v>
      </c>
      <c r="B178" t="s">
        <v>222</v>
      </c>
      <c r="C178" s="402">
        <v>0</v>
      </c>
      <c r="D178" s="402">
        <v>46373477.479999997</v>
      </c>
      <c r="E178" s="402">
        <v>234735558.59</v>
      </c>
      <c r="F178" s="402">
        <v>-188362081.11000001</v>
      </c>
    </row>
    <row r="179" spans="1:6">
      <c r="A179">
        <v>618</v>
      </c>
      <c r="B179" t="s">
        <v>223</v>
      </c>
      <c r="C179" s="402">
        <v>0</v>
      </c>
      <c r="D179">
        <v>0</v>
      </c>
      <c r="E179" s="402">
        <v>10673530.640000001</v>
      </c>
      <c r="F179" s="402">
        <v>-10673530.640000001</v>
      </c>
    </row>
    <row r="180" spans="1:6">
      <c r="A180">
        <v>619</v>
      </c>
      <c r="B180" t="s">
        <v>224</v>
      </c>
      <c r="C180" s="402">
        <v>0</v>
      </c>
      <c r="D180" s="402">
        <v>4989212248.6099997</v>
      </c>
      <c r="E180" s="402">
        <v>10115900566.059999</v>
      </c>
      <c r="F180" s="402">
        <v>-5126688317.4499998</v>
      </c>
    </row>
    <row r="181" spans="1:6">
      <c r="A181">
        <v>622</v>
      </c>
      <c r="B181" t="s">
        <v>225</v>
      </c>
      <c r="C181" s="402">
        <v>0</v>
      </c>
      <c r="D181" s="402">
        <v>39603893.890000001</v>
      </c>
      <c r="E181" s="402">
        <v>548651390.77999997</v>
      </c>
      <c r="F181" s="402">
        <v>-509047496.88999999</v>
      </c>
    </row>
    <row r="182" spans="1:6">
      <c r="A182">
        <v>623</v>
      </c>
      <c r="B182" t="s">
        <v>226</v>
      </c>
      <c r="C182" s="402">
        <v>0</v>
      </c>
      <c r="D182" s="402">
        <v>50563805.899999999</v>
      </c>
      <c r="E182" s="402">
        <v>112491926</v>
      </c>
      <c r="F182" s="402">
        <v>-61928120.100000001</v>
      </c>
    </row>
    <row r="183" spans="1:6">
      <c r="A183">
        <v>624</v>
      </c>
      <c r="B183" t="s">
        <v>227</v>
      </c>
      <c r="C183" s="402">
        <v>0</v>
      </c>
      <c r="D183" s="402">
        <v>309365.82</v>
      </c>
      <c r="E183" s="402">
        <v>309365.82</v>
      </c>
      <c r="F183" s="402">
        <v>0</v>
      </c>
    </row>
    <row r="184" spans="1:6">
      <c r="A184">
        <v>626</v>
      </c>
      <c r="B184" t="s">
        <v>228</v>
      </c>
      <c r="C184" s="402">
        <v>0</v>
      </c>
      <c r="D184">
        <v>0.28000000000000003</v>
      </c>
      <c r="E184">
        <v>0.28000000000000003</v>
      </c>
      <c r="F184" s="402">
        <v>0</v>
      </c>
    </row>
    <row r="185" spans="1:6">
      <c r="A185">
        <v>629</v>
      </c>
      <c r="B185" t="s">
        <v>229</v>
      </c>
      <c r="C185" s="402">
        <v>0</v>
      </c>
      <c r="D185" s="402">
        <v>5483648.3099999996</v>
      </c>
      <c r="E185" s="402">
        <v>152436076.90000001</v>
      </c>
      <c r="F185" s="402">
        <v>-146952428.59</v>
      </c>
    </row>
    <row r="186" spans="1:6">
      <c r="A186">
        <v>641</v>
      </c>
      <c r="B186"/>
      <c r="C186" s="402">
        <v>0</v>
      </c>
      <c r="D186" s="402">
        <v>3896894.38</v>
      </c>
      <c r="E186" s="402">
        <v>17635358.59</v>
      </c>
      <c r="F186" s="402">
        <v>-13738464.210000001</v>
      </c>
    </row>
    <row r="187" spans="1:6">
      <c r="A187">
        <v>658</v>
      </c>
      <c r="B187" t="s">
        <v>1214</v>
      </c>
      <c r="C187" s="402">
        <v>0</v>
      </c>
      <c r="D187" s="402">
        <v>205615</v>
      </c>
      <c r="E187" s="402">
        <v>205615</v>
      </c>
      <c r="F187" s="402">
        <v>0</v>
      </c>
    </row>
    <row r="188" spans="1:6">
      <c r="A188">
        <v>701</v>
      </c>
      <c r="B188" t="s">
        <v>230</v>
      </c>
      <c r="C188" s="402">
        <v>0</v>
      </c>
      <c r="D188" s="402">
        <v>105154041637</v>
      </c>
      <c r="E188" s="402">
        <v>19056781</v>
      </c>
      <c r="F188" s="402">
        <v>105134984856</v>
      </c>
    </row>
    <row r="189" spans="1:6">
      <c r="A189">
        <v>702</v>
      </c>
      <c r="B189" t="s">
        <v>231</v>
      </c>
      <c r="C189" s="402">
        <v>0</v>
      </c>
      <c r="D189" s="402">
        <v>7204390</v>
      </c>
      <c r="E189" s="402">
        <v>773344</v>
      </c>
      <c r="F189" s="402">
        <v>6431046</v>
      </c>
    </row>
    <row r="190" spans="1:6">
      <c r="A190">
        <v>704</v>
      </c>
      <c r="B190" t="s">
        <v>1215</v>
      </c>
      <c r="C190" s="402">
        <v>0</v>
      </c>
      <c r="D190" s="402">
        <v>7779320</v>
      </c>
      <c r="E190">
        <v>0</v>
      </c>
      <c r="F190" s="402">
        <v>7779320</v>
      </c>
    </row>
    <row r="191" spans="1:6">
      <c r="A191">
        <v>706</v>
      </c>
      <c r="B191" t="s">
        <v>232</v>
      </c>
      <c r="C191" s="402">
        <v>0</v>
      </c>
      <c r="D191" s="402">
        <v>147711491.13999999</v>
      </c>
      <c r="E191" s="402">
        <v>29990176.140000001</v>
      </c>
      <c r="F191" s="402">
        <v>117721315</v>
      </c>
    </row>
    <row r="192" spans="1:6">
      <c r="A192">
        <v>731</v>
      </c>
      <c r="B192"/>
      <c r="C192" s="402">
        <v>0</v>
      </c>
      <c r="D192" s="402">
        <v>17751172.239999998</v>
      </c>
      <c r="E192" s="402">
        <v>2240350.98</v>
      </c>
      <c r="F192" s="402">
        <v>15510821.26</v>
      </c>
    </row>
    <row r="193" spans="1:6">
      <c r="A193">
        <v>741</v>
      </c>
      <c r="B193" t="s">
        <v>233</v>
      </c>
      <c r="C193" s="402">
        <v>0</v>
      </c>
      <c r="D193" s="402">
        <v>227355482.36000001</v>
      </c>
      <c r="E193" s="402">
        <v>85228776.060000002</v>
      </c>
      <c r="F193" s="402">
        <v>142126706.30000001</v>
      </c>
    </row>
    <row r="194" spans="1:6">
      <c r="A194">
        <v>742</v>
      </c>
      <c r="B194" t="s">
        <v>234</v>
      </c>
      <c r="C194" s="402">
        <v>0</v>
      </c>
      <c r="D194" s="402">
        <v>2620091.06</v>
      </c>
      <c r="E194" s="402">
        <v>765202.06</v>
      </c>
      <c r="F194" s="402">
        <v>1854889</v>
      </c>
    </row>
    <row r="195" spans="1:6">
      <c r="A195">
        <v>743</v>
      </c>
      <c r="B195" t="s">
        <v>235</v>
      </c>
      <c r="C195" s="402">
        <v>0</v>
      </c>
      <c r="D195" s="402">
        <v>5198598.28</v>
      </c>
      <c r="E195" s="402">
        <v>1085258.6000000001</v>
      </c>
      <c r="F195" s="402">
        <v>4113339.68</v>
      </c>
    </row>
    <row r="196" spans="1:6">
      <c r="A196">
        <v>745</v>
      </c>
      <c r="B196" t="s">
        <v>236</v>
      </c>
      <c r="C196" s="402">
        <v>0</v>
      </c>
      <c r="D196" s="402">
        <v>501906102.63</v>
      </c>
      <c r="E196" s="402">
        <v>182297294.81</v>
      </c>
      <c r="F196" s="402">
        <v>319608807.81999999</v>
      </c>
    </row>
    <row r="197" spans="1:6">
      <c r="A197">
        <v>746</v>
      </c>
      <c r="B197" t="s">
        <v>237</v>
      </c>
      <c r="C197" s="402">
        <v>0</v>
      </c>
      <c r="D197" s="402">
        <v>758028.52</v>
      </c>
      <c r="E197" s="402">
        <v>223664</v>
      </c>
      <c r="F197" s="402">
        <v>534364.52</v>
      </c>
    </row>
    <row r="198" spans="1:6">
      <c r="A198">
        <v>747</v>
      </c>
      <c r="B198" t="s">
        <v>238</v>
      </c>
      <c r="C198" s="402">
        <v>0</v>
      </c>
      <c r="D198" s="402">
        <v>6189958.0099999998</v>
      </c>
      <c r="E198" s="402">
        <v>1341298.71</v>
      </c>
      <c r="F198" s="402">
        <v>4848659.3</v>
      </c>
    </row>
    <row r="199" spans="1:6">
      <c r="A199">
        <v>748</v>
      </c>
      <c r="B199" t="s">
        <v>239</v>
      </c>
      <c r="C199" s="402">
        <v>0</v>
      </c>
      <c r="D199" s="402">
        <v>16885877.109999999</v>
      </c>
      <c r="E199" s="402">
        <v>3324304.6</v>
      </c>
      <c r="F199" s="402">
        <v>13561572.51</v>
      </c>
    </row>
    <row r="200" spans="1:6">
      <c r="A200">
        <v>751</v>
      </c>
      <c r="B200" t="s">
        <v>240</v>
      </c>
      <c r="C200" s="402">
        <v>0</v>
      </c>
      <c r="D200" s="402">
        <v>2348948669.6799998</v>
      </c>
      <c r="E200" s="402">
        <v>27915923.670000002</v>
      </c>
      <c r="F200" s="402">
        <v>2321032746.0100002</v>
      </c>
    </row>
    <row r="201" spans="1:6">
      <c r="A201">
        <v>752</v>
      </c>
      <c r="B201" t="s">
        <v>241</v>
      </c>
      <c r="C201" s="402">
        <v>0</v>
      </c>
      <c r="D201" s="402">
        <v>27963161.670000002</v>
      </c>
      <c r="E201" s="402">
        <v>70656.11</v>
      </c>
      <c r="F201" s="402">
        <v>27892505.559999999</v>
      </c>
    </row>
    <row r="202" spans="1:6">
      <c r="A202">
        <v>753</v>
      </c>
      <c r="B202" t="s">
        <v>242</v>
      </c>
      <c r="C202" s="402">
        <v>0</v>
      </c>
      <c r="D202" s="402">
        <v>750983734.58000004</v>
      </c>
      <c r="E202" s="402">
        <v>5270538.3099999996</v>
      </c>
      <c r="F202" s="402">
        <v>745713196.26999998</v>
      </c>
    </row>
    <row r="203" spans="1:6">
      <c r="A203">
        <v>754</v>
      </c>
      <c r="B203" t="s">
        <v>243</v>
      </c>
      <c r="C203" s="402">
        <v>0</v>
      </c>
      <c r="D203" s="402">
        <v>599204091.88999999</v>
      </c>
      <c r="E203" s="402">
        <v>14779899.210000001</v>
      </c>
      <c r="F203" s="402">
        <v>584424192.67999995</v>
      </c>
    </row>
    <row r="204" spans="1:6">
      <c r="A204">
        <v>755</v>
      </c>
      <c r="B204" t="s">
        <v>244</v>
      </c>
      <c r="C204" s="402">
        <v>0</v>
      </c>
      <c r="D204" s="402">
        <v>10778573</v>
      </c>
      <c r="E204" s="402">
        <v>10070144</v>
      </c>
      <c r="F204" s="402">
        <v>708429</v>
      </c>
    </row>
    <row r="205" spans="1:6">
      <c r="A205">
        <v>756</v>
      </c>
      <c r="B205" t="s">
        <v>245</v>
      </c>
      <c r="C205" s="402">
        <v>0</v>
      </c>
      <c r="D205" s="402">
        <v>94000511.219999999</v>
      </c>
      <c r="E205" s="402">
        <v>12046034.210000001</v>
      </c>
      <c r="F205" s="402">
        <v>81954477.010000005</v>
      </c>
    </row>
    <row r="206" spans="1:6">
      <c r="A206">
        <v>757</v>
      </c>
      <c r="B206" t="s">
        <v>246</v>
      </c>
      <c r="C206" s="402">
        <v>0</v>
      </c>
      <c r="D206" s="402">
        <v>52469324.82</v>
      </c>
      <c r="E206" s="402">
        <v>1113951.29</v>
      </c>
      <c r="F206" s="402">
        <v>51355373.530000001</v>
      </c>
    </row>
    <row r="207" spans="1:6">
      <c r="A207">
        <v>758</v>
      </c>
      <c r="B207" t="s">
        <v>247</v>
      </c>
      <c r="C207" s="402">
        <v>0</v>
      </c>
      <c r="D207" s="402">
        <v>469249643.86000001</v>
      </c>
      <c r="E207" s="402">
        <v>7911910</v>
      </c>
      <c r="F207" s="402">
        <v>461337733.86000001</v>
      </c>
    </row>
    <row r="208" spans="1:6">
      <c r="A208">
        <v>761</v>
      </c>
      <c r="B208" t="s">
        <v>248</v>
      </c>
      <c r="C208" s="402">
        <v>0</v>
      </c>
      <c r="D208" s="402">
        <v>846159609.04999995</v>
      </c>
      <c r="E208" s="402">
        <v>177587072.58000001</v>
      </c>
      <c r="F208" s="402">
        <v>668572536.47000003</v>
      </c>
    </row>
    <row r="209" spans="1:8">
      <c r="A209">
        <v>762</v>
      </c>
      <c r="B209" t="s">
        <v>249</v>
      </c>
      <c r="C209" s="402">
        <v>0</v>
      </c>
      <c r="D209" s="402">
        <v>94611862.829999998</v>
      </c>
      <c r="E209" s="402">
        <v>28502101.350000001</v>
      </c>
      <c r="F209" s="402">
        <v>66109761.479999997</v>
      </c>
    </row>
    <row r="210" spans="1:8">
      <c r="A210">
        <v>765</v>
      </c>
      <c r="B210" t="s">
        <v>250</v>
      </c>
      <c r="C210" s="402">
        <v>0</v>
      </c>
      <c r="D210" s="402">
        <v>2152548.52</v>
      </c>
      <c r="E210" s="402">
        <v>37693</v>
      </c>
      <c r="F210" s="402">
        <v>2114855.52</v>
      </c>
    </row>
    <row r="211" spans="1:8">
      <c r="A211">
        <v>771</v>
      </c>
      <c r="B211" t="s">
        <v>251</v>
      </c>
      <c r="C211" s="402">
        <v>0</v>
      </c>
      <c r="D211" s="402">
        <v>2891027002.48</v>
      </c>
      <c r="E211">
        <v>0</v>
      </c>
      <c r="F211" s="402">
        <v>2891027002.48</v>
      </c>
    </row>
    <row r="212" spans="1:8">
      <c r="A212">
        <v>785</v>
      </c>
      <c r="B212" t="s">
        <v>252</v>
      </c>
      <c r="C212" s="402">
        <v>0</v>
      </c>
      <c r="D212" s="402">
        <v>7352339.0099999998</v>
      </c>
      <c r="E212" s="402">
        <v>219887.04</v>
      </c>
      <c r="F212" s="402">
        <v>7132451.9699999997</v>
      </c>
    </row>
    <row r="213" spans="1:8">
      <c r="A213">
        <v>786</v>
      </c>
      <c r="B213" t="s">
        <v>253</v>
      </c>
      <c r="C213" s="402">
        <v>0</v>
      </c>
      <c r="D213" s="402">
        <v>38497198.32</v>
      </c>
      <c r="E213" s="402">
        <v>159129403.97</v>
      </c>
      <c r="F213" s="402">
        <v>-120632205.65000001</v>
      </c>
      <c r="H213" s="60">
        <f>895-325</f>
        <v>570</v>
      </c>
    </row>
    <row r="214" spans="1:8">
      <c r="A214">
        <v>788</v>
      </c>
      <c r="B214" t="s">
        <v>254</v>
      </c>
      <c r="C214" s="402">
        <v>0</v>
      </c>
      <c r="D214" s="402">
        <v>9502118.8200000003</v>
      </c>
      <c r="E214" s="402">
        <v>8408334.4000000004</v>
      </c>
      <c r="F214" s="402">
        <v>1093784.42</v>
      </c>
    </row>
    <row r="215" spans="1:8">
      <c r="A215">
        <v>792</v>
      </c>
      <c r="B215" t="s">
        <v>255</v>
      </c>
      <c r="C215" s="402">
        <v>0</v>
      </c>
      <c r="D215" s="402">
        <v>5207454</v>
      </c>
      <c r="E215" s="402">
        <v>964755</v>
      </c>
      <c r="F215" s="402">
        <v>4242699</v>
      </c>
    </row>
    <row r="216" spans="1:8">
      <c r="A216">
        <v>794</v>
      </c>
      <c r="B216" t="s">
        <v>256</v>
      </c>
      <c r="C216" s="402">
        <v>0</v>
      </c>
      <c r="D216" s="402">
        <v>2578310.84</v>
      </c>
      <c r="E216" s="402">
        <v>256177.91</v>
      </c>
      <c r="F216" s="402">
        <v>2322132.9300000002</v>
      </c>
    </row>
    <row r="217" spans="1:8">
      <c r="A217">
        <v>795</v>
      </c>
      <c r="B217" t="s">
        <v>257</v>
      </c>
      <c r="C217" s="402">
        <v>0</v>
      </c>
      <c r="D217" s="402">
        <v>11077383.050000001</v>
      </c>
      <c r="E217" s="402">
        <v>782508.93</v>
      </c>
      <c r="F217" s="402">
        <v>10294874.119999999</v>
      </c>
    </row>
    <row r="218" spans="1:8">
      <c r="A218">
        <v>921</v>
      </c>
      <c r="B218" t="s">
        <v>258</v>
      </c>
      <c r="C218" s="402">
        <v>-2790182876.3600001</v>
      </c>
      <c r="D218" s="402">
        <v>18378741590.040001</v>
      </c>
      <c r="E218" s="402">
        <v>22377879785</v>
      </c>
      <c r="F218" s="402">
        <v>-6789321071.3199997</v>
      </c>
    </row>
    <row r="219" spans="1:8">
      <c r="A219">
        <v>924</v>
      </c>
      <c r="B219" t="s">
        <v>259</v>
      </c>
      <c r="C219" s="402">
        <v>0</v>
      </c>
      <c r="D219" s="402">
        <v>8055978</v>
      </c>
      <c r="E219" s="402">
        <v>15331329471.58</v>
      </c>
      <c r="F219" s="402">
        <v>-15323273493.58</v>
      </c>
    </row>
    <row r="220" spans="1:8">
      <c r="A220">
        <v>925</v>
      </c>
      <c r="B220" t="s">
        <v>260</v>
      </c>
      <c r="C220" s="402">
        <v>0</v>
      </c>
      <c r="D220" s="402">
        <v>22364212122</v>
      </c>
      <c r="E220" s="402">
        <v>602015843.60000002</v>
      </c>
      <c r="F220" s="402">
        <v>21762196278.400002</v>
      </c>
    </row>
    <row r="221" spans="1:8">
      <c r="A221">
        <v>926</v>
      </c>
      <c r="B221" t="s">
        <v>261</v>
      </c>
      <c r="C221" s="402">
        <v>2790182876.3600001</v>
      </c>
      <c r="D221" s="402">
        <v>6143733</v>
      </c>
      <c r="E221" s="402">
        <v>2445832862.8600001</v>
      </c>
      <c r="F221" s="402">
        <v>350493746.5</v>
      </c>
    </row>
    <row r="222" spans="1:8">
      <c r="A222">
        <v>10101</v>
      </c>
      <c r="B222" t="s">
        <v>262</v>
      </c>
      <c r="C222" s="402">
        <v>716254489.75999999</v>
      </c>
      <c r="D222" s="402">
        <v>909000</v>
      </c>
      <c r="E222" s="402">
        <v>0</v>
      </c>
      <c r="F222" s="402">
        <v>717163489.75999999</v>
      </c>
    </row>
    <row r="223" spans="1:8">
      <c r="A223">
        <v>10104</v>
      </c>
      <c r="B223" t="s">
        <v>263</v>
      </c>
      <c r="C223" s="402">
        <v>0</v>
      </c>
      <c r="D223" s="402">
        <v>690596</v>
      </c>
      <c r="E223" s="402">
        <v>690596</v>
      </c>
      <c r="F223" s="402">
        <v>0</v>
      </c>
    </row>
    <row r="224" spans="1:8">
      <c r="A224">
        <v>10112</v>
      </c>
      <c r="B224" t="s">
        <v>264</v>
      </c>
      <c r="C224" s="402">
        <v>6200725</v>
      </c>
      <c r="D224">
        <v>0</v>
      </c>
      <c r="E224" s="402">
        <v>0</v>
      </c>
      <c r="F224" s="402">
        <v>6200725</v>
      </c>
    </row>
    <row r="225" spans="1:6">
      <c r="A225">
        <v>10201</v>
      </c>
      <c r="B225" t="s">
        <v>265</v>
      </c>
      <c r="C225" s="402">
        <v>-0.01</v>
      </c>
      <c r="D225">
        <v>0.01</v>
      </c>
      <c r="E225" s="402">
        <v>0</v>
      </c>
      <c r="F225" s="402">
        <v>0</v>
      </c>
    </row>
    <row r="226" spans="1:6">
      <c r="A226">
        <v>10208</v>
      </c>
      <c r="B226" t="s">
        <v>266</v>
      </c>
      <c r="C226" s="402">
        <v>44787.040000000001</v>
      </c>
      <c r="D226">
        <v>0</v>
      </c>
      <c r="E226" s="402">
        <v>0</v>
      </c>
      <c r="F226" s="402">
        <v>44787.040000000001</v>
      </c>
    </row>
    <row r="227" spans="1:6">
      <c r="A227">
        <v>10211</v>
      </c>
      <c r="B227" t="s">
        <v>267</v>
      </c>
      <c r="C227" s="402">
        <v>1005230625.75</v>
      </c>
      <c r="D227">
        <v>0</v>
      </c>
      <c r="E227" s="402">
        <v>0</v>
      </c>
      <c r="F227" s="402">
        <v>1005230625.75</v>
      </c>
    </row>
    <row r="228" spans="1:6">
      <c r="A228">
        <v>10222</v>
      </c>
      <c r="B228" t="s">
        <v>268</v>
      </c>
      <c r="C228" s="402">
        <v>150454231.56999999</v>
      </c>
      <c r="D228">
        <v>0</v>
      </c>
      <c r="E228" s="402">
        <v>10000</v>
      </c>
      <c r="F228" s="402">
        <v>150444231.56999999</v>
      </c>
    </row>
    <row r="229" spans="1:6">
      <c r="A229">
        <v>10232</v>
      </c>
      <c r="B229" t="s">
        <v>269</v>
      </c>
      <c r="C229" s="402">
        <v>1388076.15</v>
      </c>
      <c r="D229">
        <v>0</v>
      </c>
      <c r="E229" s="402">
        <v>0</v>
      </c>
      <c r="F229" s="402">
        <v>1388076.15</v>
      </c>
    </row>
    <row r="230" spans="1:6">
      <c r="A230">
        <v>10233</v>
      </c>
      <c r="B230" t="s">
        <v>270</v>
      </c>
      <c r="C230" s="402">
        <v>62158034.829999998</v>
      </c>
      <c r="D230" s="402">
        <v>286129.84999999998</v>
      </c>
      <c r="E230" s="402">
        <v>0</v>
      </c>
      <c r="F230" s="402">
        <v>62444164.68</v>
      </c>
    </row>
    <row r="231" spans="1:6">
      <c r="A231">
        <v>10234</v>
      </c>
      <c r="B231" t="s">
        <v>271</v>
      </c>
      <c r="C231" s="402">
        <v>2530161.2599999998</v>
      </c>
      <c r="D231">
        <v>0</v>
      </c>
      <c r="E231">
        <v>0</v>
      </c>
      <c r="F231" s="402">
        <v>2530161.2599999998</v>
      </c>
    </row>
    <row r="232" spans="1:6">
      <c r="A232">
        <v>10315</v>
      </c>
      <c r="B232" t="s">
        <v>272</v>
      </c>
      <c r="C232" s="402">
        <v>595764.23</v>
      </c>
      <c r="D232">
        <v>0</v>
      </c>
      <c r="E232">
        <v>0</v>
      </c>
      <c r="F232" s="402">
        <v>595764.23</v>
      </c>
    </row>
    <row r="233" spans="1:6">
      <c r="A233">
        <v>10320</v>
      </c>
      <c r="B233" t="s">
        <v>273</v>
      </c>
      <c r="C233" s="402">
        <v>1671749.32</v>
      </c>
      <c r="D233">
        <v>0</v>
      </c>
      <c r="E233" s="402">
        <v>0</v>
      </c>
      <c r="F233" s="402">
        <v>1671749.32</v>
      </c>
    </row>
    <row r="234" spans="1:6">
      <c r="A234">
        <v>10322</v>
      </c>
      <c r="B234" t="s">
        <v>274</v>
      </c>
      <c r="C234" s="402">
        <v>1000947.4</v>
      </c>
      <c r="D234">
        <v>0</v>
      </c>
      <c r="E234" s="402">
        <v>0</v>
      </c>
      <c r="F234" s="402">
        <v>1000947.4</v>
      </c>
    </row>
    <row r="235" spans="1:6">
      <c r="A235">
        <v>10401</v>
      </c>
      <c r="B235" t="s">
        <v>275</v>
      </c>
      <c r="C235" s="402">
        <v>18686639.690000001</v>
      </c>
      <c r="D235">
        <v>0</v>
      </c>
      <c r="E235" s="402">
        <v>0</v>
      </c>
      <c r="F235" s="402">
        <v>18686639.690000001</v>
      </c>
    </row>
    <row r="236" spans="1:6">
      <c r="A236">
        <v>10419</v>
      </c>
      <c r="B236" t="s">
        <v>276</v>
      </c>
      <c r="C236" s="402">
        <v>362758279.30000001</v>
      </c>
      <c r="D236" s="402">
        <v>12251882.16</v>
      </c>
      <c r="E236" s="402">
        <v>0.01</v>
      </c>
      <c r="F236" s="402">
        <v>375010161.44999999</v>
      </c>
    </row>
    <row r="237" spans="1:6">
      <c r="A237">
        <v>10499</v>
      </c>
      <c r="B237" t="s">
        <v>1216</v>
      </c>
      <c r="C237" s="402">
        <v>0</v>
      </c>
      <c r="D237" s="402">
        <v>585113.1</v>
      </c>
      <c r="E237">
        <v>0</v>
      </c>
      <c r="F237" s="402">
        <v>585113.1</v>
      </c>
    </row>
    <row r="238" spans="1:6">
      <c r="A238">
        <v>10539</v>
      </c>
      <c r="B238" t="s">
        <v>1217</v>
      </c>
      <c r="C238" s="402">
        <v>0</v>
      </c>
      <c r="D238" s="402">
        <v>12709</v>
      </c>
      <c r="E238" s="402">
        <v>12709</v>
      </c>
      <c r="F238" s="402">
        <v>0</v>
      </c>
    </row>
    <row r="239" spans="1:6">
      <c r="A239">
        <v>10541</v>
      </c>
      <c r="B239" t="s">
        <v>277</v>
      </c>
      <c r="C239" s="402">
        <v>8655862947.0699997</v>
      </c>
      <c r="D239" s="402">
        <v>337503831.14999998</v>
      </c>
      <c r="E239" s="402">
        <v>322245.36</v>
      </c>
      <c r="F239" s="402">
        <v>8993044532.8600006</v>
      </c>
    </row>
    <row r="240" spans="1:6">
      <c r="A240">
        <v>10542</v>
      </c>
      <c r="B240" t="s">
        <v>278</v>
      </c>
      <c r="C240" s="402">
        <v>12240638288.629999</v>
      </c>
      <c r="D240" s="402">
        <v>268082754.27000001</v>
      </c>
      <c r="E240" s="402">
        <v>897209.07</v>
      </c>
      <c r="F240" s="402">
        <v>12507823833.83</v>
      </c>
    </row>
    <row r="241" spans="1:6">
      <c r="A241">
        <v>10543</v>
      </c>
      <c r="B241" t="s">
        <v>279</v>
      </c>
      <c r="C241" s="402">
        <v>55801417.090000004</v>
      </c>
      <c r="D241" s="402">
        <v>78190.8</v>
      </c>
      <c r="E241" s="402">
        <v>0</v>
      </c>
      <c r="F241" s="402">
        <v>55879607.890000001</v>
      </c>
    </row>
    <row r="242" spans="1:6">
      <c r="A242">
        <v>10545</v>
      </c>
      <c r="B242" t="s">
        <v>280</v>
      </c>
      <c r="C242" s="402">
        <v>50598281.119999997</v>
      </c>
      <c r="D242">
        <v>0</v>
      </c>
      <c r="E242" s="402">
        <v>0</v>
      </c>
      <c r="F242" s="402">
        <v>50598281.119999997</v>
      </c>
    </row>
    <row r="243" spans="1:6">
      <c r="A243">
        <v>10548</v>
      </c>
      <c r="B243" t="s">
        <v>281</v>
      </c>
      <c r="C243" s="402">
        <v>370184139.20999998</v>
      </c>
      <c r="D243">
        <v>0</v>
      </c>
      <c r="E243" s="402">
        <v>0</v>
      </c>
      <c r="F243" s="402">
        <v>370184139.20999998</v>
      </c>
    </row>
    <row r="244" spans="1:6">
      <c r="A244">
        <v>10549</v>
      </c>
      <c r="B244" t="s">
        <v>282</v>
      </c>
      <c r="C244" s="402">
        <v>-370184139.20999998</v>
      </c>
      <c r="D244">
        <v>0</v>
      </c>
      <c r="E244" s="402">
        <v>0</v>
      </c>
      <c r="F244" s="402">
        <v>-370184139.20999998</v>
      </c>
    </row>
    <row r="245" spans="1:6">
      <c r="A245">
        <v>10550</v>
      </c>
      <c r="B245" t="s">
        <v>283</v>
      </c>
      <c r="C245" s="402">
        <v>1162054770.4400001</v>
      </c>
      <c r="D245" s="402">
        <v>136412.85999999999</v>
      </c>
      <c r="E245" s="402">
        <v>136412.85999999999</v>
      </c>
      <c r="F245" s="402">
        <v>1162054770.4400001</v>
      </c>
    </row>
    <row r="246" spans="1:6">
      <c r="A246">
        <v>10553</v>
      </c>
      <c r="B246" t="s">
        <v>284</v>
      </c>
      <c r="C246" s="402">
        <v>49808.63</v>
      </c>
      <c r="D246">
        <v>0</v>
      </c>
      <c r="E246" s="402">
        <v>0</v>
      </c>
      <c r="F246" s="402">
        <v>49808.63</v>
      </c>
    </row>
    <row r="247" spans="1:6">
      <c r="A247">
        <v>10555</v>
      </c>
      <c r="B247" t="s">
        <v>285</v>
      </c>
      <c r="C247" s="402">
        <v>970842.98</v>
      </c>
      <c r="D247">
        <v>0</v>
      </c>
      <c r="E247" s="402">
        <v>0</v>
      </c>
      <c r="F247" s="402">
        <v>970842.98</v>
      </c>
    </row>
    <row r="248" spans="1:6">
      <c r="A248">
        <v>10561</v>
      </c>
      <c r="B248" t="s">
        <v>286</v>
      </c>
      <c r="C248" s="402">
        <v>64002675.289999999</v>
      </c>
      <c r="D248" s="402">
        <v>12800</v>
      </c>
      <c r="E248" s="402">
        <v>12800</v>
      </c>
      <c r="F248" s="402">
        <v>64002675.289999999</v>
      </c>
    </row>
    <row r="249" spans="1:6">
      <c r="A249">
        <v>10563</v>
      </c>
      <c r="B249" t="s">
        <v>287</v>
      </c>
      <c r="C249" s="402">
        <v>41345</v>
      </c>
      <c r="D249">
        <v>0</v>
      </c>
      <c r="E249" s="402">
        <v>0</v>
      </c>
      <c r="F249" s="402">
        <v>41345</v>
      </c>
    </row>
    <row r="250" spans="1:6">
      <c r="A250">
        <v>10565</v>
      </c>
      <c r="B250" t="s">
        <v>288</v>
      </c>
      <c r="C250" s="402">
        <v>38626.21</v>
      </c>
      <c r="D250">
        <v>0</v>
      </c>
      <c r="E250" s="402">
        <v>0</v>
      </c>
      <c r="F250" s="402">
        <v>38626.21</v>
      </c>
    </row>
    <row r="251" spans="1:6">
      <c r="A251">
        <v>10567</v>
      </c>
      <c r="B251" t="s">
        <v>289</v>
      </c>
      <c r="C251" s="402">
        <v>15128912.93</v>
      </c>
      <c r="D251">
        <v>0</v>
      </c>
      <c r="E251" s="402">
        <v>0</v>
      </c>
      <c r="F251" s="402">
        <v>15128912.93</v>
      </c>
    </row>
    <row r="252" spans="1:6">
      <c r="A252">
        <v>10568</v>
      </c>
      <c r="B252" t="s">
        <v>290</v>
      </c>
      <c r="C252" s="402">
        <v>409406.82</v>
      </c>
      <c r="D252">
        <v>0</v>
      </c>
      <c r="E252" s="402">
        <v>0</v>
      </c>
      <c r="F252" s="402">
        <v>409406.82</v>
      </c>
    </row>
    <row r="253" spans="1:6">
      <c r="A253">
        <v>10571</v>
      </c>
      <c r="B253" t="s">
        <v>291</v>
      </c>
      <c r="C253" s="402">
        <v>2407439.41</v>
      </c>
      <c r="D253">
        <v>0</v>
      </c>
      <c r="E253" s="402">
        <v>0</v>
      </c>
      <c r="F253" s="402">
        <v>2407439.41</v>
      </c>
    </row>
    <row r="254" spans="1:6">
      <c r="A254">
        <v>10572</v>
      </c>
      <c r="B254" t="s">
        <v>292</v>
      </c>
      <c r="C254" s="402">
        <v>8225431.0599999996</v>
      </c>
      <c r="D254" s="402">
        <v>0</v>
      </c>
      <c r="E254" s="402">
        <v>0</v>
      </c>
      <c r="F254" s="402">
        <v>8225431.0599999996</v>
      </c>
    </row>
    <row r="255" spans="1:6">
      <c r="A255">
        <v>10574</v>
      </c>
      <c r="B255" t="s">
        <v>293</v>
      </c>
      <c r="C255" s="402">
        <v>246509.05</v>
      </c>
      <c r="D255" s="402">
        <v>0</v>
      </c>
      <c r="E255" s="402">
        <v>0</v>
      </c>
      <c r="F255" s="402">
        <v>246509.05</v>
      </c>
    </row>
    <row r="256" spans="1:6">
      <c r="A256">
        <v>10576</v>
      </c>
      <c r="B256" t="s">
        <v>294</v>
      </c>
      <c r="C256" s="402">
        <v>19228806.289999999</v>
      </c>
      <c r="D256" s="402">
        <v>211416</v>
      </c>
      <c r="E256">
        <v>0</v>
      </c>
      <c r="F256" s="402">
        <v>19440222.289999999</v>
      </c>
    </row>
    <row r="257" spans="1:6">
      <c r="A257">
        <v>10577</v>
      </c>
      <c r="B257" t="s">
        <v>295</v>
      </c>
      <c r="C257" s="402">
        <v>1109800.32</v>
      </c>
      <c r="D257" s="402">
        <v>0</v>
      </c>
      <c r="E257" s="402">
        <v>0</v>
      </c>
      <c r="F257" s="402">
        <v>1109800.32</v>
      </c>
    </row>
    <row r="258" spans="1:6">
      <c r="A258">
        <v>10580</v>
      </c>
      <c r="B258" t="s">
        <v>296</v>
      </c>
      <c r="C258" s="402">
        <v>3417236.56</v>
      </c>
      <c r="D258" s="402">
        <v>210397.65</v>
      </c>
      <c r="E258" s="402">
        <v>161399.65</v>
      </c>
      <c r="F258" s="402">
        <v>3466234.56</v>
      </c>
    </row>
    <row r="259" spans="1:6">
      <c r="A259">
        <v>10581</v>
      </c>
      <c r="B259" t="s">
        <v>297</v>
      </c>
      <c r="C259" s="402">
        <v>112822549.39</v>
      </c>
      <c r="D259">
        <v>0</v>
      </c>
      <c r="E259" s="402">
        <v>0</v>
      </c>
      <c r="F259" s="402">
        <v>112822549.39</v>
      </c>
    </row>
    <row r="260" spans="1:6">
      <c r="A260">
        <v>10583</v>
      </c>
      <c r="B260" t="s">
        <v>298</v>
      </c>
      <c r="C260" s="402">
        <v>5936433.4299999997</v>
      </c>
      <c r="D260" s="402">
        <v>93000.06</v>
      </c>
      <c r="E260" s="402">
        <v>0</v>
      </c>
      <c r="F260" s="402">
        <v>6029433.4900000002</v>
      </c>
    </row>
    <row r="261" spans="1:6">
      <c r="A261">
        <v>10585</v>
      </c>
      <c r="B261" t="s">
        <v>299</v>
      </c>
      <c r="C261" s="402">
        <v>91125</v>
      </c>
      <c r="D261">
        <v>0</v>
      </c>
      <c r="E261" s="402">
        <v>0</v>
      </c>
      <c r="F261" s="402">
        <v>91125</v>
      </c>
    </row>
    <row r="262" spans="1:6">
      <c r="A262">
        <v>10586</v>
      </c>
      <c r="B262" t="s">
        <v>300</v>
      </c>
      <c r="C262" s="402">
        <v>60468.26</v>
      </c>
      <c r="D262" s="402">
        <v>0</v>
      </c>
      <c r="E262">
        <v>0</v>
      </c>
      <c r="F262" s="402">
        <v>60468.26</v>
      </c>
    </row>
    <row r="263" spans="1:6">
      <c r="A263">
        <v>10590</v>
      </c>
      <c r="B263" t="s">
        <v>301</v>
      </c>
      <c r="C263" s="402">
        <v>52685.38</v>
      </c>
      <c r="D263" s="402">
        <v>0</v>
      </c>
      <c r="E263" s="402">
        <v>0</v>
      </c>
      <c r="F263" s="402">
        <v>52685.38</v>
      </c>
    </row>
    <row r="264" spans="1:6">
      <c r="A264">
        <v>10591</v>
      </c>
      <c r="B264" t="s">
        <v>302</v>
      </c>
      <c r="C264" s="402">
        <v>44366864.950000003</v>
      </c>
      <c r="D264" s="402">
        <v>0</v>
      </c>
      <c r="E264" s="402">
        <v>0</v>
      </c>
      <c r="F264" s="402">
        <v>44366864.950000003</v>
      </c>
    </row>
    <row r="265" spans="1:6">
      <c r="A265">
        <v>10592</v>
      </c>
      <c r="B265" t="s">
        <v>303</v>
      </c>
      <c r="C265" s="402">
        <v>-44366864.950000003</v>
      </c>
      <c r="D265" s="402">
        <v>0</v>
      </c>
      <c r="E265" s="402">
        <v>0</v>
      </c>
      <c r="F265" s="402">
        <v>-44366864.950000003</v>
      </c>
    </row>
    <row r="266" spans="1:6">
      <c r="A266">
        <v>10595</v>
      </c>
      <c r="B266" t="s">
        <v>304</v>
      </c>
      <c r="C266" s="402">
        <v>-1162054770.5</v>
      </c>
      <c r="D266" s="402">
        <v>0</v>
      </c>
      <c r="E266" s="402">
        <v>0</v>
      </c>
      <c r="F266" s="402">
        <v>-1162054770.5</v>
      </c>
    </row>
    <row r="267" spans="1:6">
      <c r="A267">
        <v>10599</v>
      </c>
      <c r="B267" t="s">
        <v>305</v>
      </c>
      <c r="C267" s="402">
        <v>34585613.18</v>
      </c>
      <c r="D267" s="402">
        <v>0</v>
      </c>
      <c r="E267" s="402">
        <v>0</v>
      </c>
      <c r="F267" s="402">
        <v>34585613.18</v>
      </c>
    </row>
    <row r="268" spans="1:6">
      <c r="A268">
        <v>10605</v>
      </c>
      <c r="B268" t="s">
        <v>306</v>
      </c>
      <c r="C268" s="402">
        <v>1466777.8</v>
      </c>
      <c r="D268" s="402">
        <v>0</v>
      </c>
      <c r="E268" s="402">
        <v>0</v>
      </c>
      <c r="F268" s="402">
        <v>1466777.8</v>
      </c>
    </row>
    <row r="269" spans="1:6">
      <c r="A269">
        <v>10606</v>
      </c>
      <c r="B269" t="s">
        <v>307</v>
      </c>
      <c r="C269" s="402">
        <v>2556003123.98</v>
      </c>
      <c r="D269" s="402">
        <v>4543691.13</v>
      </c>
      <c r="E269" s="402">
        <v>0</v>
      </c>
      <c r="F269" s="402">
        <v>2560546815.1100001</v>
      </c>
    </row>
    <row r="270" spans="1:6">
      <c r="A270">
        <v>10607</v>
      </c>
      <c r="B270" t="s">
        <v>308</v>
      </c>
      <c r="C270" s="402">
        <v>20974535223.66</v>
      </c>
      <c r="D270" s="402">
        <v>630440421.39999998</v>
      </c>
      <c r="E270" s="402">
        <v>0.01</v>
      </c>
      <c r="F270" s="402">
        <v>21604975645.049999</v>
      </c>
    </row>
    <row r="271" spans="1:6">
      <c r="A271">
        <v>10608</v>
      </c>
      <c r="B271" t="s">
        <v>309</v>
      </c>
      <c r="C271" s="402">
        <v>23325857547.419998</v>
      </c>
      <c r="D271" s="402">
        <v>546911876.63999999</v>
      </c>
      <c r="E271" s="402">
        <v>5092097.33</v>
      </c>
      <c r="F271" s="402">
        <v>23867677326.73</v>
      </c>
    </row>
    <row r="272" spans="1:6">
      <c r="A272">
        <v>10609</v>
      </c>
      <c r="B272" t="s">
        <v>310</v>
      </c>
      <c r="C272" s="402">
        <v>96085.42</v>
      </c>
      <c r="D272" s="402">
        <v>239232.76</v>
      </c>
      <c r="E272" s="402">
        <v>0</v>
      </c>
      <c r="F272" s="402">
        <v>335318.18</v>
      </c>
    </row>
    <row r="273" spans="1:6">
      <c r="A273">
        <v>10611</v>
      </c>
      <c r="B273" t="s">
        <v>311</v>
      </c>
      <c r="C273" s="402">
        <v>2189745684.4699998</v>
      </c>
      <c r="D273" s="402">
        <v>153052527.65000001</v>
      </c>
      <c r="E273" s="402">
        <v>0</v>
      </c>
      <c r="F273" s="402">
        <v>2342798212.1199999</v>
      </c>
    </row>
    <row r="274" spans="1:6">
      <c r="A274">
        <v>10612</v>
      </c>
      <c r="B274" t="s">
        <v>312</v>
      </c>
      <c r="C274" s="402">
        <v>2195107762.9499998</v>
      </c>
      <c r="D274" s="402">
        <v>64067886.450000003</v>
      </c>
      <c r="E274" s="402">
        <v>2122099.39</v>
      </c>
      <c r="F274" s="402">
        <v>2257053550.0100002</v>
      </c>
    </row>
    <row r="275" spans="1:6">
      <c r="A275">
        <v>10613</v>
      </c>
      <c r="B275" t="s">
        <v>313</v>
      </c>
      <c r="C275" s="402">
        <v>12684930.039999999</v>
      </c>
      <c r="D275" s="402">
        <v>0</v>
      </c>
      <c r="E275" s="402">
        <v>0</v>
      </c>
      <c r="F275" s="402">
        <v>12684930.039999999</v>
      </c>
    </row>
    <row r="276" spans="1:6">
      <c r="A276">
        <v>10621</v>
      </c>
      <c r="B276" t="s">
        <v>314</v>
      </c>
      <c r="C276" s="402">
        <v>620164900.45000005</v>
      </c>
      <c r="D276" s="402">
        <v>11564541.720000001</v>
      </c>
      <c r="E276" s="402">
        <v>0</v>
      </c>
      <c r="F276" s="402">
        <v>631729442.16999996</v>
      </c>
    </row>
    <row r="277" spans="1:6">
      <c r="A277">
        <v>10622</v>
      </c>
      <c r="B277" t="s">
        <v>315</v>
      </c>
      <c r="C277" s="402">
        <v>2441522595.96</v>
      </c>
      <c r="D277" s="402">
        <v>39691733</v>
      </c>
      <c r="E277" s="402">
        <v>3</v>
      </c>
      <c r="F277" s="402">
        <v>2481214325.96</v>
      </c>
    </row>
    <row r="278" spans="1:6">
      <c r="A278">
        <v>10631</v>
      </c>
      <c r="B278" t="s">
        <v>316</v>
      </c>
      <c r="C278" s="402">
        <v>5699406858.2600002</v>
      </c>
      <c r="D278" s="402">
        <v>73860791.819999993</v>
      </c>
      <c r="E278" s="402">
        <v>104571.8</v>
      </c>
      <c r="F278" s="402">
        <v>5773163078.2799997</v>
      </c>
    </row>
    <row r="279" spans="1:6">
      <c r="A279">
        <v>10632</v>
      </c>
      <c r="B279" t="s">
        <v>317</v>
      </c>
      <c r="C279" s="402">
        <v>17233474.789999999</v>
      </c>
      <c r="D279">
        <v>0</v>
      </c>
      <c r="E279">
        <v>0</v>
      </c>
      <c r="F279" s="402">
        <v>17233474.789999999</v>
      </c>
    </row>
    <row r="280" spans="1:6">
      <c r="A280">
        <v>10633</v>
      </c>
      <c r="B280" t="s">
        <v>318</v>
      </c>
      <c r="C280" s="402">
        <v>26892277.34</v>
      </c>
      <c r="D280" s="402">
        <v>0</v>
      </c>
      <c r="E280" s="402">
        <v>0</v>
      </c>
      <c r="F280" s="402">
        <v>26892277.34</v>
      </c>
    </row>
    <row r="281" spans="1:6">
      <c r="A281">
        <v>10641</v>
      </c>
      <c r="B281" t="s">
        <v>319</v>
      </c>
      <c r="C281" s="402">
        <v>49130411.240000002</v>
      </c>
      <c r="D281" s="402">
        <v>0</v>
      </c>
      <c r="E281" s="402">
        <v>0</v>
      </c>
      <c r="F281" s="402">
        <v>49130411.240000002</v>
      </c>
    </row>
    <row r="282" spans="1:6">
      <c r="A282">
        <v>10699</v>
      </c>
      <c r="B282" t="s">
        <v>320</v>
      </c>
      <c r="C282" s="402">
        <v>119303566.48</v>
      </c>
      <c r="D282" s="402">
        <v>210597.68</v>
      </c>
      <c r="E282" s="402">
        <v>0</v>
      </c>
      <c r="F282" s="402">
        <v>119514164.16</v>
      </c>
    </row>
    <row r="283" spans="1:6">
      <c r="A283">
        <v>10710</v>
      </c>
      <c r="B283" t="s">
        <v>321</v>
      </c>
      <c r="C283" s="402">
        <v>11862612.039999999</v>
      </c>
      <c r="D283" s="402">
        <v>95720.02</v>
      </c>
      <c r="E283" s="402">
        <v>195947.13</v>
      </c>
      <c r="F283" s="402">
        <v>11762384.93</v>
      </c>
    </row>
    <row r="284" spans="1:6">
      <c r="A284">
        <v>10730</v>
      </c>
      <c r="B284" t="s">
        <v>322</v>
      </c>
      <c r="C284" s="402">
        <v>10138474.65</v>
      </c>
      <c r="D284" s="402">
        <v>10000</v>
      </c>
      <c r="E284" s="402">
        <v>10000</v>
      </c>
      <c r="F284" s="402">
        <v>10138474.65</v>
      </c>
    </row>
    <row r="285" spans="1:6">
      <c r="A285">
        <v>10731</v>
      </c>
      <c r="B285" t="s">
        <v>323</v>
      </c>
      <c r="C285" s="402">
        <v>4478799.83</v>
      </c>
      <c r="D285" s="402">
        <v>0</v>
      </c>
      <c r="E285" s="402">
        <v>0</v>
      </c>
      <c r="F285" s="402">
        <v>4478799.83</v>
      </c>
    </row>
    <row r="286" spans="1:6">
      <c r="A286">
        <v>10740</v>
      </c>
      <c r="B286" t="s">
        <v>324</v>
      </c>
      <c r="C286" s="402">
        <v>937738</v>
      </c>
      <c r="D286" s="402">
        <v>0</v>
      </c>
      <c r="E286" s="402">
        <v>0</v>
      </c>
      <c r="F286" s="402">
        <v>937738</v>
      </c>
    </row>
    <row r="287" spans="1:6">
      <c r="A287">
        <v>10810</v>
      </c>
      <c r="B287" t="s">
        <v>325</v>
      </c>
      <c r="C287" s="402">
        <v>133778120.56999999</v>
      </c>
      <c r="D287" s="402">
        <v>1464891.53</v>
      </c>
      <c r="E287" s="402">
        <v>22680</v>
      </c>
      <c r="F287" s="402">
        <v>135220332.09999999</v>
      </c>
    </row>
    <row r="288" spans="1:6">
      <c r="A288">
        <v>10820</v>
      </c>
      <c r="B288" t="s">
        <v>326</v>
      </c>
      <c r="C288" s="402">
        <v>25792204.550000001</v>
      </c>
      <c r="D288" s="402">
        <v>0</v>
      </c>
      <c r="E288" s="402">
        <v>0</v>
      </c>
      <c r="F288" s="402">
        <v>25792204.550000001</v>
      </c>
    </row>
    <row r="289" spans="1:6">
      <c r="A289">
        <v>10899</v>
      </c>
      <c r="B289" t="s">
        <v>327</v>
      </c>
      <c r="C289" s="402">
        <v>847997.55</v>
      </c>
      <c r="D289" s="402">
        <v>0</v>
      </c>
      <c r="E289" s="402">
        <v>0</v>
      </c>
      <c r="F289" s="402">
        <v>847997.55</v>
      </c>
    </row>
    <row r="290" spans="1:6">
      <c r="A290">
        <v>10900</v>
      </c>
      <c r="B290" t="s">
        <v>328</v>
      </c>
      <c r="C290" s="402">
        <v>1196715.31</v>
      </c>
      <c r="D290" s="402">
        <v>0</v>
      </c>
      <c r="E290" s="402">
        <v>0</v>
      </c>
      <c r="F290" s="402">
        <v>1196715.31</v>
      </c>
    </row>
    <row r="291" spans="1:6">
      <c r="A291">
        <v>10901</v>
      </c>
      <c r="B291" t="s">
        <v>329</v>
      </c>
      <c r="C291" s="402">
        <v>18855</v>
      </c>
      <c r="D291" s="402">
        <v>0</v>
      </c>
      <c r="E291" s="402">
        <v>0</v>
      </c>
      <c r="F291" s="402">
        <v>18855</v>
      </c>
    </row>
    <row r="292" spans="1:6">
      <c r="A292">
        <v>10902</v>
      </c>
      <c r="B292" t="s">
        <v>330</v>
      </c>
      <c r="C292" s="402">
        <v>2490637.11</v>
      </c>
      <c r="D292" s="402">
        <v>11800</v>
      </c>
      <c r="E292" s="402">
        <v>0</v>
      </c>
      <c r="F292" s="402">
        <v>2502437.11</v>
      </c>
    </row>
    <row r="293" spans="1:6">
      <c r="A293">
        <v>10903</v>
      </c>
      <c r="B293" t="s">
        <v>331</v>
      </c>
      <c r="C293" s="402">
        <v>568526714.14999998</v>
      </c>
      <c r="D293" s="402">
        <v>1227110.46</v>
      </c>
      <c r="E293" s="402">
        <v>174342</v>
      </c>
      <c r="F293" s="402">
        <v>569579482.61000001</v>
      </c>
    </row>
    <row r="294" spans="1:6">
      <c r="A294">
        <v>10905</v>
      </c>
      <c r="B294" t="s">
        <v>332</v>
      </c>
      <c r="C294" s="402">
        <v>36500</v>
      </c>
      <c r="D294" s="402">
        <v>0</v>
      </c>
      <c r="E294" s="402">
        <v>0</v>
      </c>
      <c r="F294" s="402">
        <v>36500</v>
      </c>
    </row>
    <row r="295" spans="1:6">
      <c r="A295">
        <v>10906</v>
      </c>
      <c r="B295" t="s">
        <v>333</v>
      </c>
      <c r="C295" s="402">
        <v>145245.45000000001</v>
      </c>
      <c r="D295" s="402">
        <v>0</v>
      </c>
      <c r="E295" s="402">
        <v>0</v>
      </c>
      <c r="F295" s="402">
        <v>145245.45000000001</v>
      </c>
    </row>
    <row r="296" spans="1:6">
      <c r="A296">
        <v>10907</v>
      </c>
      <c r="B296" t="s">
        <v>334</v>
      </c>
      <c r="C296" s="402">
        <v>258662.2</v>
      </c>
      <c r="D296" s="402">
        <v>0</v>
      </c>
      <c r="E296" s="402">
        <v>0</v>
      </c>
      <c r="F296" s="402">
        <v>258662.2</v>
      </c>
    </row>
    <row r="297" spans="1:6">
      <c r="A297">
        <v>10999</v>
      </c>
      <c r="B297" t="s">
        <v>328</v>
      </c>
      <c r="C297" s="402">
        <v>162039920.44</v>
      </c>
      <c r="D297" s="402">
        <v>230057</v>
      </c>
      <c r="E297" s="402">
        <v>31801</v>
      </c>
      <c r="F297" s="402">
        <v>162238176.44</v>
      </c>
    </row>
    <row r="298" spans="1:6">
      <c r="A298">
        <v>11401</v>
      </c>
      <c r="B298" t="s">
        <v>335</v>
      </c>
      <c r="C298" s="402">
        <v>0</v>
      </c>
      <c r="D298" s="402">
        <v>85720.02</v>
      </c>
      <c r="E298" s="402">
        <v>85720.02</v>
      </c>
      <c r="F298" s="402">
        <v>0</v>
      </c>
    </row>
    <row r="299" spans="1:6">
      <c r="A299">
        <v>11421</v>
      </c>
      <c r="B299" t="s">
        <v>336</v>
      </c>
      <c r="C299" s="402">
        <v>0</v>
      </c>
      <c r="D299" s="402">
        <v>85720.02</v>
      </c>
      <c r="E299" s="402">
        <v>85720.02</v>
      </c>
      <c r="F299" s="402">
        <v>0</v>
      </c>
    </row>
    <row r="300" spans="1:6">
      <c r="A300">
        <v>12101</v>
      </c>
      <c r="B300" t="s">
        <v>337</v>
      </c>
      <c r="C300" s="402">
        <v>-1392134.29</v>
      </c>
      <c r="D300" s="402">
        <v>0</v>
      </c>
      <c r="E300" s="402">
        <v>156037.39000000001</v>
      </c>
      <c r="F300" s="402">
        <v>-1548171.68</v>
      </c>
    </row>
    <row r="301" spans="1:6">
      <c r="A301">
        <v>12200</v>
      </c>
      <c r="B301" t="s">
        <v>127</v>
      </c>
      <c r="C301" s="402">
        <v>-251644503.03999999</v>
      </c>
      <c r="D301" s="402">
        <v>0</v>
      </c>
      <c r="E301" s="402">
        <v>30707872.120000001</v>
      </c>
      <c r="F301" s="402">
        <v>-282352375.16000003</v>
      </c>
    </row>
    <row r="302" spans="1:6">
      <c r="A302">
        <v>12300</v>
      </c>
      <c r="B302" t="s">
        <v>128</v>
      </c>
      <c r="C302" s="402">
        <v>-2215138.6</v>
      </c>
      <c r="D302" s="402">
        <v>0</v>
      </c>
      <c r="E302" s="402">
        <v>93537.34</v>
      </c>
      <c r="F302" s="402">
        <v>-2308675.94</v>
      </c>
    </row>
    <row r="303" spans="1:6">
      <c r="A303">
        <v>12301</v>
      </c>
      <c r="B303" t="s">
        <v>338</v>
      </c>
      <c r="C303" s="402">
        <v>0</v>
      </c>
      <c r="D303" s="402">
        <v>42019393.780000001</v>
      </c>
      <c r="E303" s="402">
        <v>42019393.780000001</v>
      </c>
      <c r="F303" s="402">
        <v>0</v>
      </c>
    </row>
    <row r="304" spans="1:6">
      <c r="A304">
        <v>12400</v>
      </c>
      <c r="B304" t="s">
        <v>129</v>
      </c>
      <c r="C304" s="402">
        <v>-90758631.590000004</v>
      </c>
      <c r="D304" s="402">
        <v>0</v>
      </c>
      <c r="E304" s="402">
        <v>9821161.8800000008</v>
      </c>
      <c r="F304" s="402">
        <v>-100579793.47</v>
      </c>
    </row>
    <row r="305" spans="1:6">
      <c r="A305">
        <v>12401</v>
      </c>
      <c r="B305" t="s">
        <v>339</v>
      </c>
      <c r="C305">
        <v>0</v>
      </c>
      <c r="D305" s="402">
        <v>770</v>
      </c>
      <c r="E305" s="402">
        <v>770</v>
      </c>
      <c r="F305">
        <v>0</v>
      </c>
    </row>
    <row r="306" spans="1:6">
      <c r="A306">
        <v>12500</v>
      </c>
      <c r="B306" t="s">
        <v>340</v>
      </c>
      <c r="C306" s="402">
        <v>-8048218769.71</v>
      </c>
      <c r="D306" s="402">
        <v>100594.55</v>
      </c>
      <c r="E306" s="402">
        <v>795798256.65999997</v>
      </c>
      <c r="F306" s="402">
        <v>-8843916431.8199997</v>
      </c>
    </row>
    <row r="307" spans="1:6">
      <c r="A307">
        <v>12501</v>
      </c>
      <c r="B307" t="s">
        <v>341</v>
      </c>
      <c r="C307" s="402">
        <v>17429021.149999999</v>
      </c>
      <c r="D307" s="402">
        <v>0</v>
      </c>
      <c r="E307" s="402">
        <v>0</v>
      </c>
      <c r="F307" s="402">
        <v>17429021.149999999</v>
      </c>
    </row>
    <row r="308" spans="1:6">
      <c r="A308">
        <v>12600</v>
      </c>
      <c r="B308" t="s">
        <v>131</v>
      </c>
      <c r="C308" s="402">
        <v>-21985877576.75</v>
      </c>
      <c r="D308">
        <v>0</v>
      </c>
      <c r="E308" s="402">
        <v>2029305091.6099999</v>
      </c>
      <c r="F308" s="402">
        <v>-24015182668.360001</v>
      </c>
    </row>
    <row r="309" spans="1:6">
      <c r="A309">
        <v>12700</v>
      </c>
      <c r="B309" t="s">
        <v>132</v>
      </c>
      <c r="C309" s="402">
        <v>-20872959.489999998</v>
      </c>
      <c r="D309" s="402">
        <v>133531.71</v>
      </c>
      <c r="E309" s="402">
        <v>937410.4</v>
      </c>
      <c r="F309" s="402">
        <v>-21676838.18</v>
      </c>
    </row>
    <row r="310" spans="1:6">
      <c r="A310">
        <v>12800</v>
      </c>
      <c r="B310" t="s">
        <v>133</v>
      </c>
      <c r="C310" s="402">
        <v>-78940276.680000007</v>
      </c>
      <c r="D310" s="402">
        <v>0</v>
      </c>
      <c r="E310" s="402">
        <v>6391556.4299999997</v>
      </c>
      <c r="F310" s="402">
        <v>-85331833.109999999</v>
      </c>
    </row>
    <row r="311" spans="1:6">
      <c r="A311">
        <v>12900</v>
      </c>
      <c r="B311" t="s">
        <v>342</v>
      </c>
      <c r="C311" s="402">
        <v>-74322361.469999999</v>
      </c>
      <c r="D311" s="402">
        <v>0</v>
      </c>
      <c r="E311" s="402">
        <v>6950791.9500000002</v>
      </c>
      <c r="F311" s="402">
        <v>-81273153.420000002</v>
      </c>
    </row>
    <row r="312" spans="1:6">
      <c r="A312">
        <v>12903</v>
      </c>
      <c r="B312" t="s">
        <v>343</v>
      </c>
      <c r="C312" s="402">
        <v>-476334275.56</v>
      </c>
      <c r="D312" s="402">
        <v>0</v>
      </c>
      <c r="E312" s="402">
        <v>11009208.560000001</v>
      </c>
      <c r="F312" s="402">
        <v>-487343484.12</v>
      </c>
    </row>
    <row r="313" spans="1:6">
      <c r="A313">
        <v>13401</v>
      </c>
      <c r="B313" t="s">
        <v>344</v>
      </c>
      <c r="C313" s="402">
        <v>0</v>
      </c>
      <c r="D313" s="402">
        <v>43327.31</v>
      </c>
      <c r="E313" s="402">
        <v>43327.31</v>
      </c>
      <c r="F313" s="402">
        <v>0</v>
      </c>
    </row>
    <row r="314" spans="1:6">
      <c r="A314">
        <v>13421</v>
      </c>
      <c r="B314" t="s">
        <v>345</v>
      </c>
      <c r="C314" s="402">
        <v>0</v>
      </c>
      <c r="D314" s="402">
        <v>43327.31</v>
      </c>
      <c r="E314" s="402">
        <v>43327.31</v>
      </c>
      <c r="F314" s="402">
        <v>0</v>
      </c>
    </row>
    <row r="315" spans="1:6">
      <c r="A315">
        <v>14016</v>
      </c>
      <c r="B315" t="s">
        <v>1218</v>
      </c>
      <c r="C315" s="402">
        <v>0</v>
      </c>
      <c r="D315" s="402">
        <v>60740</v>
      </c>
      <c r="E315" s="402">
        <v>60740</v>
      </c>
      <c r="F315" s="402">
        <v>0</v>
      </c>
    </row>
    <row r="316" spans="1:6">
      <c r="A316">
        <v>14025</v>
      </c>
      <c r="B316" t="s">
        <v>346</v>
      </c>
      <c r="C316" s="402">
        <v>271449.40999999997</v>
      </c>
      <c r="D316" s="402">
        <v>467416.85</v>
      </c>
      <c r="E316" s="402">
        <v>414136.85</v>
      </c>
      <c r="F316" s="402">
        <v>324729.40999999997</v>
      </c>
    </row>
    <row r="317" spans="1:6">
      <c r="A317">
        <v>14026</v>
      </c>
      <c r="B317" t="s">
        <v>347</v>
      </c>
      <c r="C317" s="402">
        <v>11186905.289999999</v>
      </c>
      <c r="D317" s="402">
        <v>25027245.899999999</v>
      </c>
      <c r="E317" s="402">
        <v>14345711.41</v>
      </c>
      <c r="F317" s="402">
        <v>21868439.780000001</v>
      </c>
    </row>
    <row r="318" spans="1:6">
      <c r="A318">
        <v>14055</v>
      </c>
      <c r="B318" t="s">
        <v>348</v>
      </c>
      <c r="C318" s="402">
        <v>3600755.43</v>
      </c>
      <c r="D318" s="402">
        <v>5201240.7</v>
      </c>
      <c r="E318" s="402">
        <v>2272399.4500000002</v>
      </c>
      <c r="F318" s="402">
        <v>6529596.6799999997</v>
      </c>
    </row>
    <row r="319" spans="1:6">
      <c r="A319">
        <v>14056</v>
      </c>
      <c r="B319" t="s">
        <v>349</v>
      </c>
      <c r="C319" s="402">
        <v>296024.73</v>
      </c>
      <c r="D319" s="402">
        <v>6640882.5800000001</v>
      </c>
      <c r="E319" s="402">
        <v>1234995.26</v>
      </c>
      <c r="F319" s="402">
        <v>5701912.0499999998</v>
      </c>
    </row>
    <row r="320" spans="1:6">
      <c r="A320">
        <v>14075</v>
      </c>
      <c r="B320" t="s">
        <v>1219</v>
      </c>
      <c r="C320" s="402">
        <v>0</v>
      </c>
      <c r="D320" s="402">
        <v>491036</v>
      </c>
      <c r="E320" s="402">
        <v>491036</v>
      </c>
      <c r="F320" s="402">
        <v>0</v>
      </c>
    </row>
    <row r="321" spans="1:6">
      <c r="A321">
        <v>14076</v>
      </c>
      <c r="B321" t="s">
        <v>1220</v>
      </c>
      <c r="C321" s="402">
        <v>0</v>
      </c>
      <c r="D321" s="402">
        <v>35717</v>
      </c>
      <c r="E321" s="402">
        <v>35717</v>
      </c>
      <c r="F321" s="402">
        <v>0</v>
      </c>
    </row>
    <row r="322" spans="1:6">
      <c r="A322">
        <v>14095</v>
      </c>
      <c r="B322" t="s">
        <v>1221</v>
      </c>
      <c r="C322" s="402">
        <v>0</v>
      </c>
      <c r="D322" s="402">
        <v>384536.77</v>
      </c>
      <c r="E322" s="402">
        <v>384536.77</v>
      </c>
      <c r="F322" s="402">
        <v>0</v>
      </c>
    </row>
    <row r="323" spans="1:6">
      <c r="A323">
        <v>14096</v>
      </c>
      <c r="B323" t="s">
        <v>350</v>
      </c>
      <c r="C323" s="402">
        <v>19119.11</v>
      </c>
      <c r="D323" s="402">
        <v>331976.84999999998</v>
      </c>
      <c r="E323" s="402">
        <v>135437.34</v>
      </c>
      <c r="F323" s="402">
        <v>215658.62</v>
      </c>
    </row>
    <row r="324" spans="1:6">
      <c r="A324">
        <v>14105</v>
      </c>
      <c r="B324" t="s">
        <v>1222</v>
      </c>
      <c r="C324" s="402">
        <v>0</v>
      </c>
      <c r="D324" s="402">
        <v>4784705</v>
      </c>
      <c r="E324" s="402">
        <v>4784705</v>
      </c>
      <c r="F324" s="402">
        <v>0</v>
      </c>
    </row>
    <row r="325" spans="1:6">
      <c r="A325">
        <v>14125</v>
      </c>
      <c r="B325" t="s">
        <v>351</v>
      </c>
      <c r="C325" s="402">
        <v>0</v>
      </c>
      <c r="D325" s="402">
        <v>155842.04999999999</v>
      </c>
      <c r="E325" s="402">
        <v>155842.04999999999</v>
      </c>
      <c r="F325" s="402">
        <v>0</v>
      </c>
    </row>
    <row r="326" spans="1:6">
      <c r="A326">
        <v>14394</v>
      </c>
      <c r="B326" t="s">
        <v>352</v>
      </c>
      <c r="C326" s="402">
        <v>0</v>
      </c>
      <c r="D326" s="402">
        <v>6566698</v>
      </c>
      <c r="E326" s="402">
        <v>6566698</v>
      </c>
      <c r="F326" s="402">
        <v>0</v>
      </c>
    </row>
    <row r="327" spans="1:6">
      <c r="A327">
        <v>14471</v>
      </c>
      <c r="B327" t="s">
        <v>1223</v>
      </c>
      <c r="C327" s="402">
        <v>0</v>
      </c>
      <c r="D327" s="402">
        <v>99226</v>
      </c>
      <c r="E327" s="402">
        <v>99226</v>
      </c>
      <c r="F327" s="402">
        <v>0</v>
      </c>
    </row>
    <row r="328" spans="1:6">
      <c r="A328">
        <v>14486</v>
      </c>
      <c r="B328" t="s">
        <v>1224</v>
      </c>
      <c r="C328" s="402">
        <v>0</v>
      </c>
      <c r="D328" s="402">
        <v>449148.42</v>
      </c>
      <c r="E328" s="402">
        <v>449148.42</v>
      </c>
      <c r="F328" s="402">
        <v>0</v>
      </c>
    </row>
    <row r="329" spans="1:6">
      <c r="A329">
        <v>14515</v>
      </c>
      <c r="B329" t="s">
        <v>353</v>
      </c>
      <c r="C329" s="402">
        <v>0</v>
      </c>
      <c r="D329" s="402">
        <v>93000.04</v>
      </c>
      <c r="E329" s="402">
        <v>93000.04</v>
      </c>
      <c r="F329" s="402">
        <v>0</v>
      </c>
    </row>
    <row r="330" spans="1:6">
      <c r="A330">
        <v>14605</v>
      </c>
      <c r="B330" t="s">
        <v>354</v>
      </c>
      <c r="C330" s="402">
        <v>135298.22</v>
      </c>
      <c r="D330" s="402">
        <v>89637.68</v>
      </c>
      <c r="E330" s="402">
        <v>224935.9</v>
      </c>
      <c r="F330" s="402">
        <v>0</v>
      </c>
    </row>
    <row r="331" spans="1:6">
      <c r="A331">
        <v>14606</v>
      </c>
      <c r="B331" t="s">
        <v>355</v>
      </c>
      <c r="C331" s="402">
        <v>175093.36</v>
      </c>
      <c r="D331" s="402">
        <v>744842.01</v>
      </c>
      <c r="E331" s="402">
        <v>438171.45</v>
      </c>
      <c r="F331" s="402">
        <v>481763.92</v>
      </c>
    </row>
    <row r="332" spans="1:6">
      <c r="A332">
        <v>14615</v>
      </c>
      <c r="B332" t="s">
        <v>356</v>
      </c>
      <c r="C332" s="402">
        <v>107423291.28</v>
      </c>
      <c r="D332" s="402">
        <v>286216936.74000001</v>
      </c>
      <c r="E332" s="402">
        <v>188632088.36000001</v>
      </c>
      <c r="F332" s="402">
        <v>205008139.66</v>
      </c>
    </row>
    <row r="333" spans="1:6">
      <c r="A333">
        <v>14616</v>
      </c>
      <c r="B333" t="s">
        <v>357</v>
      </c>
      <c r="C333" s="402">
        <v>229772613.37</v>
      </c>
      <c r="D333" s="402">
        <v>875418130.23000002</v>
      </c>
      <c r="E333" s="402">
        <v>719512503.16999996</v>
      </c>
      <c r="F333" s="402">
        <v>385678240.43000001</v>
      </c>
    </row>
    <row r="334" spans="1:6">
      <c r="A334">
        <v>14655</v>
      </c>
      <c r="B334" t="s">
        <v>358</v>
      </c>
      <c r="C334" s="402">
        <v>178238.53</v>
      </c>
      <c r="D334" s="402">
        <v>205426.83</v>
      </c>
      <c r="E334" s="402">
        <v>217638.04</v>
      </c>
      <c r="F334" s="402">
        <v>166027.32</v>
      </c>
    </row>
    <row r="335" spans="1:6">
      <c r="A335">
        <v>14656</v>
      </c>
      <c r="B335" t="s">
        <v>359</v>
      </c>
      <c r="C335" s="402">
        <v>1157542.53</v>
      </c>
      <c r="D335" s="402">
        <v>1960335.38</v>
      </c>
      <c r="E335" s="402">
        <v>2479114.2400000002</v>
      </c>
      <c r="F335" s="402">
        <v>638763.67000000004</v>
      </c>
    </row>
    <row r="336" spans="1:6">
      <c r="A336">
        <v>14675</v>
      </c>
      <c r="B336" t="s">
        <v>360</v>
      </c>
      <c r="C336" s="402">
        <v>0</v>
      </c>
      <c r="D336" s="402">
        <v>195688.2</v>
      </c>
      <c r="E336" s="402">
        <v>177210.2</v>
      </c>
      <c r="F336" s="402">
        <v>18478</v>
      </c>
    </row>
    <row r="337" spans="1:6">
      <c r="A337">
        <v>14676</v>
      </c>
      <c r="B337" t="s">
        <v>361</v>
      </c>
      <c r="C337" s="402">
        <v>37449022.310000002</v>
      </c>
      <c r="D337" s="402">
        <v>172412716.28999999</v>
      </c>
      <c r="E337" s="402">
        <v>130424580.11</v>
      </c>
      <c r="F337" s="402">
        <v>79437158.489999995</v>
      </c>
    </row>
    <row r="338" spans="1:6">
      <c r="A338">
        <v>14685</v>
      </c>
      <c r="B338" t="s">
        <v>362</v>
      </c>
      <c r="C338" s="402">
        <v>664656.53</v>
      </c>
      <c r="D338" s="402">
        <v>649727.01</v>
      </c>
      <c r="E338" s="402">
        <v>522745.01</v>
      </c>
      <c r="F338" s="402">
        <v>791638.53</v>
      </c>
    </row>
    <row r="339" spans="1:6">
      <c r="A339">
        <v>14686</v>
      </c>
      <c r="B339" t="s">
        <v>363</v>
      </c>
      <c r="C339" s="402">
        <v>37834141.770000003</v>
      </c>
      <c r="D339" s="402">
        <v>91778104.980000004</v>
      </c>
      <c r="E339" s="402">
        <v>106546892.26000001</v>
      </c>
      <c r="F339" s="402">
        <v>23065354.489999998</v>
      </c>
    </row>
    <row r="340" spans="1:6">
      <c r="A340">
        <v>14696</v>
      </c>
      <c r="B340" t="s">
        <v>364</v>
      </c>
      <c r="C340">
        <v>0</v>
      </c>
      <c r="D340" s="402">
        <v>738241.01</v>
      </c>
      <c r="E340" s="402">
        <v>633815.4</v>
      </c>
      <c r="F340" s="402">
        <v>104425.61</v>
      </c>
    </row>
    <row r="341" spans="1:6">
      <c r="A341">
        <v>14705</v>
      </c>
      <c r="B341" t="s">
        <v>365</v>
      </c>
      <c r="C341" s="402">
        <v>3349352.26</v>
      </c>
      <c r="D341" s="402">
        <v>42634138.909999996</v>
      </c>
      <c r="E341" s="402">
        <v>30845411.649999999</v>
      </c>
      <c r="F341" s="402">
        <v>15138079.52</v>
      </c>
    </row>
    <row r="342" spans="1:6">
      <c r="A342">
        <v>14706</v>
      </c>
      <c r="B342" t="s">
        <v>366</v>
      </c>
      <c r="C342" s="402">
        <v>89747887.019999996</v>
      </c>
      <c r="D342" s="402">
        <v>631455685.55999994</v>
      </c>
      <c r="E342" s="402">
        <v>511541480.27999997</v>
      </c>
      <c r="F342" s="402">
        <v>209662092.30000001</v>
      </c>
    </row>
    <row r="343" spans="1:6">
      <c r="A343">
        <v>14707</v>
      </c>
      <c r="B343" t="s">
        <v>1225</v>
      </c>
      <c r="C343" s="402">
        <v>0</v>
      </c>
      <c r="D343" s="402">
        <v>226398</v>
      </c>
      <c r="E343" s="402">
        <v>226398</v>
      </c>
      <c r="F343" s="402">
        <v>0</v>
      </c>
    </row>
    <row r="344" spans="1:6">
      <c r="A344">
        <v>14714</v>
      </c>
      <c r="B344" t="s">
        <v>1226</v>
      </c>
      <c r="C344" s="402">
        <v>0</v>
      </c>
      <c r="D344" s="402">
        <v>1188184.1100000001</v>
      </c>
      <c r="E344" s="402">
        <v>585113.1</v>
      </c>
      <c r="F344" s="402">
        <v>603071.01</v>
      </c>
    </row>
    <row r="345" spans="1:6">
      <c r="A345">
        <v>14715</v>
      </c>
      <c r="B345" t="s">
        <v>367</v>
      </c>
      <c r="C345" s="402">
        <v>136412.87</v>
      </c>
      <c r="D345" s="402">
        <v>539643.65</v>
      </c>
      <c r="E345" s="402">
        <v>136412.87</v>
      </c>
      <c r="F345" s="402">
        <v>539643.65</v>
      </c>
    </row>
    <row r="346" spans="1:6">
      <c r="A346">
        <v>14716</v>
      </c>
      <c r="B346" t="s">
        <v>368</v>
      </c>
      <c r="C346" s="402">
        <v>39890.57</v>
      </c>
      <c r="D346" s="402">
        <v>608407.31000000006</v>
      </c>
      <c r="E346" s="402">
        <v>176586.95</v>
      </c>
      <c r="F346" s="402">
        <v>471710.93</v>
      </c>
    </row>
    <row r="347" spans="1:6">
      <c r="A347">
        <v>14717</v>
      </c>
      <c r="B347" t="s">
        <v>369</v>
      </c>
      <c r="C347" s="402">
        <v>0</v>
      </c>
      <c r="D347" s="402">
        <v>2000968</v>
      </c>
      <c r="E347" s="402">
        <v>760038</v>
      </c>
      <c r="F347" s="402">
        <v>1240930</v>
      </c>
    </row>
    <row r="348" spans="1:6">
      <c r="A348">
        <v>14730</v>
      </c>
      <c r="B348" t="s">
        <v>370</v>
      </c>
      <c r="C348" s="402">
        <v>1038446.75</v>
      </c>
      <c r="D348" s="402">
        <v>4189989.36</v>
      </c>
      <c r="E348" s="402">
        <v>4212004.1100000003</v>
      </c>
      <c r="F348" s="402">
        <v>1016432</v>
      </c>
    </row>
    <row r="349" spans="1:6">
      <c r="A349">
        <v>14736</v>
      </c>
      <c r="B349" t="s">
        <v>371</v>
      </c>
      <c r="C349" s="402">
        <v>0</v>
      </c>
      <c r="D349" s="402">
        <v>157758.26</v>
      </c>
      <c r="E349" s="402">
        <v>157758.26</v>
      </c>
      <c r="F349" s="402">
        <v>0</v>
      </c>
    </row>
    <row r="350" spans="1:6">
      <c r="A350">
        <v>14745</v>
      </c>
      <c r="B350" t="s">
        <v>372</v>
      </c>
      <c r="C350" s="402">
        <v>0</v>
      </c>
      <c r="D350" s="402">
        <v>1246798.6299999999</v>
      </c>
      <c r="E350" s="402">
        <v>1268130.6299999999</v>
      </c>
      <c r="F350" s="402">
        <v>-21332</v>
      </c>
    </row>
    <row r="351" spans="1:6">
      <c r="A351">
        <v>14746</v>
      </c>
      <c r="B351" t="s">
        <v>373</v>
      </c>
      <c r="C351" s="402">
        <v>495879.64</v>
      </c>
      <c r="D351" s="402">
        <v>10157613.390000001</v>
      </c>
      <c r="E351" s="402">
        <v>9166698.9700000007</v>
      </c>
      <c r="F351" s="402">
        <v>1486794.06</v>
      </c>
    </row>
    <row r="352" spans="1:6">
      <c r="A352">
        <v>14767</v>
      </c>
      <c r="B352" t="s">
        <v>374</v>
      </c>
      <c r="C352" s="402">
        <v>0</v>
      </c>
      <c r="D352" s="402">
        <v>45854</v>
      </c>
      <c r="E352" s="402">
        <v>45854</v>
      </c>
      <c r="F352" s="402">
        <v>0</v>
      </c>
    </row>
    <row r="353" spans="1:6">
      <c r="A353">
        <v>14805</v>
      </c>
      <c r="B353" t="s">
        <v>375</v>
      </c>
      <c r="C353" s="402">
        <v>53165.87</v>
      </c>
      <c r="D353" s="402">
        <v>0</v>
      </c>
      <c r="E353" s="402">
        <v>0</v>
      </c>
      <c r="F353" s="402">
        <v>53165.87</v>
      </c>
    </row>
    <row r="354" spans="1:6">
      <c r="A354">
        <v>14806</v>
      </c>
      <c r="B354" t="s">
        <v>376</v>
      </c>
      <c r="C354" s="402">
        <v>37609.85</v>
      </c>
      <c r="D354" s="402">
        <v>288438.19</v>
      </c>
      <c r="E354" s="402">
        <v>309729.53999999998</v>
      </c>
      <c r="F354" s="402">
        <v>16318.5</v>
      </c>
    </row>
    <row r="355" spans="1:6">
      <c r="A355">
        <v>14815</v>
      </c>
      <c r="B355" t="s">
        <v>377</v>
      </c>
      <c r="C355" s="402">
        <v>0</v>
      </c>
      <c r="D355" s="402">
        <v>118373.9</v>
      </c>
      <c r="E355" s="402">
        <v>112625.9</v>
      </c>
      <c r="F355" s="402">
        <v>5748</v>
      </c>
    </row>
    <row r="356" spans="1:6">
      <c r="A356">
        <v>14816</v>
      </c>
      <c r="B356" t="s">
        <v>378</v>
      </c>
      <c r="C356" s="402">
        <v>185739.71</v>
      </c>
      <c r="D356" s="402">
        <v>1620488.35</v>
      </c>
      <c r="E356" s="402">
        <v>1761666.06</v>
      </c>
      <c r="F356" s="402">
        <v>44562</v>
      </c>
    </row>
    <row r="357" spans="1:6">
      <c r="A357">
        <v>14855</v>
      </c>
      <c r="B357" t="s">
        <v>379</v>
      </c>
      <c r="C357" s="402">
        <v>8372406.3600000003</v>
      </c>
      <c r="D357" s="402">
        <v>21734448.59</v>
      </c>
      <c r="E357" s="402">
        <v>8629654.5099999998</v>
      </c>
      <c r="F357" s="402">
        <v>21477200.440000001</v>
      </c>
    </row>
    <row r="358" spans="1:6">
      <c r="A358">
        <v>14856</v>
      </c>
      <c r="B358" t="s">
        <v>380</v>
      </c>
      <c r="C358" s="402">
        <v>27214564.379999999</v>
      </c>
      <c r="D358" s="402">
        <v>66758528.729999997</v>
      </c>
      <c r="E358" s="402">
        <v>39671432.170000002</v>
      </c>
      <c r="F358" s="402">
        <v>54301660.939999998</v>
      </c>
    </row>
    <row r="359" spans="1:6">
      <c r="A359">
        <v>14865</v>
      </c>
      <c r="B359" t="s">
        <v>381</v>
      </c>
      <c r="C359" s="402">
        <v>286268.99</v>
      </c>
      <c r="D359" s="402">
        <v>2134234.2000000002</v>
      </c>
      <c r="E359" s="402">
        <v>1211195.71</v>
      </c>
      <c r="F359" s="402">
        <v>1209307.48</v>
      </c>
    </row>
    <row r="360" spans="1:6">
      <c r="A360">
        <v>14866</v>
      </c>
      <c r="B360" t="s">
        <v>382</v>
      </c>
      <c r="C360" s="402">
        <v>9173343.8900000006</v>
      </c>
      <c r="D360" s="402">
        <v>17904414.629999999</v>
      </c>
      <c r="E360" s="402">
        <v>8420147.9199999999</v>
      </c>
      <c r="F360" s="402">
        <v>18657610.600000001</v>
      </c>
    </row>
    <row r="361" spans="1:6">
      <c r="A361">
        <v>14876</v>
      </c>
      <c r="B361" t="s">
        <v>383</v>
      </c>
      <c r="C361">
        <v>0</v>
      </c>
      <c r="D361" s="402">
        <v>1073810</v>
      </c>
      <c r="E361" s="402">
        <v>536905</v>
      </c>
      <c r="F361" s="402">
        <v>536905</v>
      </c>
    </row>
    <row r="362" spans="1:6">
      <c r="A362">
        <v>14881</v>
      </c>
      <c r="B362" t="s">
        <v>384</v>
      </c>
      <c r="C362">
        <v>0</v>
      </c>
      <c r="D362" s="402">
        <v>4771.7700000000004</v>
      </c>
      <c r="E362" s="402">
        <v>2922.65</v>
      </c>
      <c r="F362" s="402">
        <v>1849.12</v>
      </c>
    </row>
    <row r="363" spans="1:6">
      <c r="A363">
        <v>14884</v>
      </c>
      <c r="B363" t="s">
        <v>385</v>
      </c>
      <c r="C363" s="402">
        <v>0</v>
      </c>
      <c r="D363" s="402">
        <v>163623</v>
      </c>
      <c r="E363" s="402">
        <v>163623</v>
      </c>
      <c r="F363" s="402">
        <v>0</v>
      </c>
    </row>
    <row r="364" spans="1:6">
      <c r="A364">
        <v>14885</v>
      </c>
      <c r="B364" t="s">
        <v>386</v>
      </c>
      <c r="C364" s="402">
        <v>119783789.76000001</v>
      </c>
      <c r="D364" s="402">
        <v>1341851205.98</v>
      </c>
      <c r="E364" s="402">
        <v>548104139.29999995</v>
      </c>
      <c r="F364" s="402">
        <v>913530856.44000006</v>
      </c>
    </row>
    <row r="365" spans="1:6">
      <c r="A365">
        <v>14886</v>
      </c>
      <c r="B365" t="s">
        <v>387</v>
      </c>
      <c r="C365" s="402">
        <v>277271772.42000002</v>
      </c>
      <c r="D365" s="402">
        <v>2001312357.8399999</v>
      </c>
      <c r="E365" s="402">
        <v>1232366819.53</v>
      </c>
      <c r="F365" s="402">
        <v>1046217310.73</v>
      </c>
    </row>
    <row r="366" spans="1:6">
      <c r="A366">
        <v>14889</v>
      </c>
      <c r="B366" t="s">
        <v>388</v>
      </c>
      <c r="C366" s="402">
        <v>0</v>
      </c>
      <c r="D366" s="402">
        <v>351251.64</v>
      </c>
      <c r="E366" s="402">
        <v>351251.64</v>
      </c>
      <c r="F366" s="402">
        <v>0</v>
      </c>
    </row>
    <row r="367" spans="1:6">
      <c r="A367">
        <v>14915</v>
      </c>
      <c r="B367" t="s">
        <v>389</v>
      </c>
      <c r="C367" s="402">
        <v>0</v>
      </c>
      <c r="D367" s="402">
        <v>332990</v>
      </c>
      <c r="E367" s="402">
        <v>0</v>
      </c>
      <c r="F367" s="402">
        <v>332990</v>
      </c>
    </row>
    <row r="368" spans="1:6">
      <c r="A368">
        <v>14918</v>
      </c>
      <c r="B368" t="s">
        <v>390</v>
      </c>
      <c r="C368" s="402">
        <v>0</v>
      </c>
      <c r="D368" s="402">
        <v>2966671.93</v>
      </c>
      <c r="E368" s="402">
        <v>2565449.2000000002</v>
      </c>
      <c r="F368" s="402">
        <v>401222.73</v>
      </c>
    </row>
    <row r="369" spans="1:6">
      <c r="A369">
        <v>14919</v>
      </c>
      <c r="B369" t="s">
        <v>391</v>
      </c>
      <c r="C369" s="402">
        <v>0</v>
      </c>
      <c r="D369" s="402">
        <v>1398949.19</v>
      </c>
      <c r="E369" s="402">
        <v>1040760.74</v>
      </c>
      <c r="F369" s="402">
        <v>358188.45</v>
      </c>
    </row>
    <row r="370" spans="1:6">
      <c r="A370">
        <v>14921</v>
      </c>
      <c r="B370" t="s">
        <v>392</v>
      </c>
      <c r="C370" s="402">
        <v>0</v>
      </c>
      <c r="D370" s="402">
        <v>909000</v>
      </c>
      <c r="E370" s="402">
        <v>909000</v>
      </c>
      <c r="F370" s="402">
        <v>0</v>
      </c>
    </row>
    <row r="371" spans="1:6">
      <c r="A371">
        <v>14922</v>
      </c>
      <c r="B371" t="s">
        <v>393</v>
      </c>
      <c r="C371" s="402">
        <v>1486533.6</v>
      </c>
      <c r="D371" s="402">
        <v>13212998.75</v>
      </c>
      <c r="E371" s="402">
        <v>31033653.460000001</v>
      </c>
      <c r="F371" s="402">
        <v>-16334121.109999999</v>
      </c>
    </row>
    <row r="372" spans="1:6">
      <c r="A372">
        <v>14924</v>
      </c>
      <c r="B372" t="s">
        <v>394</v>
      </c>
      <c r="C372" s="402">
        <v>464031</v>
      </c>
      <c r="D372" s="402">
        <v>13279165.789999999</v>
      </c>
      <c r="E372" s="402">
        <v>10432704.83</v>
      </c>
      <c r="F372" s="402">
        <v>3310491.96</v>
      </c>
    </row>
    <row r="373" spans="1:6">
      <c r="A373">
        <v>14925</v>
      </c>
      <c r="B373" t="s">
        <v>395</v>
      </c>
      <c r="C373" s="402">
        <v>0</v>
      </c>
      <c r="D373" s="402">
        <v>428458.94</v>
      </c>
      <c r="E373" s="402">
        <v>0</v>
      </c>
      <c r="F373" s="402">
        <v>428458.94</v>
      </c>
    </row>
    <row r="374" spans="1:6">
      <c r="A374">
        <v>14928</v>
      </c>
      <c r="B374" t="s">
        <v>396</v>
      </c>
      <c r="C374" s="402">
        <v>0</v>
      </c>
      <c r="D374" s="402">
        <v>382349</v>
      </c>
      <c r="E374" s="402">
        <v>382349</v>
      </c>
      <c r="F374" s="402">
        <v>0</v>
      </c>
    </row>
    <row r="375" spans="1:6">
      <c r="A375">
        <v>14929</v>
      </c>
      <c r="B375" t="s">
        <v>397</v>
      </c>
      <c r="C375" s="402">
        <v>0</v>
      </c>
      <c r="D375" s="402">
        <v>1607329.11</v>
      </c>
      <c r="E375" s="402">
        <v>187716</v>
      </c>
      <c r="F375" s="402">
        <v>1419613.11</v>
      </c>
    </row>
    <row r="376" spans="1:6">
      <c r="A376">
        <v>14956</v>
      </c>
      <c r="B376" t="s">
        <v>398</v>
      </c>
      <c r="C376" s="402">
        <v>211408.04</v>
      </c>
      <c r="D376" s="402">
        <v>1482201.04</v>
      </c>
      <c r="E376" s="402">
        <v>1548749.7</v>
      </c>
      <c r="F376" s="402">
        <v>144859.38</v>
      </c>
    </row>
    <row r="377" spans="1:6">
      <c r="A377">
        <v>14961</v>
      </c>
      <c r="B377" t="s">
        <v>399</v>
      </c>
      <c r="C377" s="402">
        <v>8450</v>
      </c>
      <c r="D377" s="402">
        <v>984600</v>
      </c>
      <c r="E377" s="402">
        <v>0</v>
      </c>
      <c r="F377" s="402">
        <v>993050</v>
      </c>
    </row>
    <row r="378" spans="1:6">
      <c r="A378">
        <v>14964</v>
      </c>
      <c r="B378" t="s">
        <v>400</v>
      </c>
      <c r="C378" s="402">
        <v>0</v>
      </c>
      <c r="D378" s="402">
        <v>2886933.61</v>
      </c>
      <c r="E378" s="402">
        <v>2052607.87</v>
      </c>
      <c r="F378" s="402">
        <v>834325.74</v>
      </c>
    </row>
    <row r="379" spans="1:6">
      <c r="A379">
        <v>14986</v>
      </c>
      <c r="B379" t="s">
        <v>401</v>
      </c>
      <c r="C379" s="402">
        <v>0</v>
      </c>
      <c r="D379" s="402">
        <v>158382.87</v>
      </c>
      <c r="E379" s="402">
        <v>158382.87</v>
      </c>
      <c r="F379">
        <v>0</v>
      </c>
    </row>
    <row r="380" spans="1:6">
      <c r="A380">
        <v>14988</v>
      </c>
      <c r="B380" t="s">
        <v>402</v>
      </c>
      <c r="C380" s="402">
        <v>0</v>
      </c>
      <c r="D380" s="402">
        <v>757650</v>
      </c>
      <c r="E380" s="402">
        <v>757650</v>
      </c>
      <c r="F380">
        <v>0</v>
      </c>
    </row>
    <row r="381" spans="1:6">
      <c r="A381">
        <v>14989</v>
      </c>
      <c r="B381" t="s">
        <v>403</v>
      </c>
      <c r="C381" s="402">
        <v>0</v>
      </c>
      <c r="D381" s="402">
        <v>32378</v>
      </c>
      <c r="E381" s="402">
        <v>32378</v>
      </c>
      <c r="F381">
        <v>0</v>
      </c>
    </row>
    <row r="382" spans="1:6">
      <c r="A382">
        <v>15240</v>
      </c>
      <c r="B382" t="s">
        <v>404</v>
      </c>
      <c r="C382" s="402">
        <v>0</v>
      </c>
      <c r="D382" s="402">
        <v>792482436.04999995</v>
      </c>
      <c r="E382" s="402">
        <v>1010438681.48</v>
      </c>
      <c r="F382" s="402">
        <v>-217956245.43000001</v>
      </c>
    </row>
    <row r="383" spans="1:6">
      <c r="A383">
        <v>15500</v>
      </c>
      <c r="B383" t="s">
        <v>144</v>
      </c>
      <c r="C383" s="402">
        <v>24786785.25</v>
      </c>
      <c r="D383">
        <v>0</v>
      </c>
      <c r="E383" s="402">
        <v>20829480.170000002</v>
      </c>
      <c r="F383" s="402">
        <v>3957305.08</v>
      </c>
    </row>
    <row r="384" spans="1:6">
      <c r="A384">
        <v>16150</v>
      </c>
      <c r="B384" t="s">
        <v>405</v>
      </c>
      <c r="C384" s="402">
        <v>0</v>
      </c>
      <c r="D384" s="402">
        <v>83887.1</v>
      </c>
      <c r="E384" s="402">
        <v>83887.1</v>
      </c>
      <c r="F384" s="402">
        <v>0</v>
      </c>
    </row>
    <row r="385" spans="1:6">
      <c r="A385">
        <v>16160</v>
      </c>
      <c r="B385" t="s">
        <v>406</v>
      </c>
      <c r="C385">
        <v>0</v>
      </c>
      <c r="D385" s="402">
        <v>1122917.5</v>
      </c>
      <c r="E385" s="402">
        <v>2732781.1</v>
      </c>
      <c r="F385" s="402">
        <v>-1609863.6</v>
      </c>
    </row>
    <row r="386" spans="1:6">
      <c r="A386">
        <v>16170</v>
      </c>
      <c r="B386" t="s">
        <v>407</v>
      </c>
      <c r="C386">
        <v>0</v>
      </c>
      <c r="D386" s="402">
        <v>84936.89</v>
      </c>
      <c r="E386" s="402">
        <v>74914.179999999993</v>
      </c>
      <c r="F386" s="402">
        <v>10022.709999999999</v>
      </c>
    </row>
    <row r="387" spans="1:6">
      <c r="A387">
        <v>19006</v>
      </c>
      <c r="B387" t="s">
        <v>408</v>
      </c>
      <c r="C387" s="402">
        <v>1369550.73</v>
      </c>
      <c r="D387" s="402">
        <v>166281.51999999999</v>
      </c>
      <c r="E387" s="402">
        <v>0</v>
      </c>
      <c r="F387" s="402">
        <v>1535832.25</v>
      </c>
    </row>
    <row r="388" spans="1:6">
      <c r="A388">
        <v>19105</v>
      </c>
      <c r="B388" t="s">
        <v>409</v>
      </c>
      <c r="C388" s="402">
        <v>3743262.64</v>
      </c>
      <c r="D388" s="402">
        <v>375407308</v>
      </c>
      <c r="E388" s="402">
        <v>2310856.35</v>
      </c>
      <c r="F388" s="402">
        <v>376839714.29000002</v>
      </c>
    </row>
    <row r="389" spans="1:6">
      <c r="A389">
        <v>19235</v>
      </c>
      <c r="B389" t="s">
        <v>1227</v>
      </c>
      <c r="C389">
        <v>0</v>
      </c>
      <c r="D389" s="402">
        <v>1951037.77</v>
      </c>
      <c r="E389" s="402">
        <v>0</v>
      </c>
      <c r="F389" s="402">
        <v>1951037.77</v>
      </c>
    </row>
    <row r="390" spans="1:6">
      <c r="A390">
        <v>19236</v>
      </c>
      <c r="B390" t="s">
        <v>1228</v>
      </c>
      <c r="C390">
        <v>0</v>
      </c>
      <c r="D390" s="402">
        <v>7322042.21</v>
      </c>
      <c r="E390" s="402">
        <v>300302.84000000003</v>
      </c>
      <c r="F390" s="402">
        <v>7021739.3700000001</v>
      </c>
    </row>
    <row r="391" spans="1:6">
      <c r="A391">
        <v>20280</v>
      </c>
      <c r="B391" t="s">
        <v>1229</v>
      </c>
      <c r="C391" s="402">
        <v>567768</v>
      </c>
      <c r="D391" s="402">
        <v>3180881</v>
      </c>
      <c r="E391" s="402">
        <v>22640</v>
      </c>
      <c r="F391" s="402">
        <v>3726009</v>
      </c>
    </row>
    <row r="392" spans="1:6">
      <c r="A392">
        <v>20281</v>
      </c>
      <c r="B392" t="s">
        <v>410</v>
      </c>
      <c r="C392" s="402">
        <v>12456135.189999999</v>
      </c>
      <c r="D392" s="402">
        <v>2483642</v>
      </c>
      <c r="E392" s="402">
        <v>3740660</v>
      </c>
      <c r="F392" s="402">
        <v>11199117.189999999</v>
      </c>
    </row>
    <row r="393" spans="1:6">
      <c r="A393">
        <v>20282</v>
      </c>
      <c r="B393" t="s">
        <v>411</v>
      </c>
      <c r="C393" s="402">
        <v>3299739</v>
      </c>
      <c r="D393" s="402">
        <v>273881</v>
      </c>
      <c r="E393">
        <v>0</v>
      </c>
      <c r="F393" s="402">
        <v>3573620</v>
      </c>
    </row>
    <row r="394" spans="1:6">
      <c r="A394">
        <v>20283</v>
      </c>
      <c r="B394" t="s">
        <v>412</v>
      </c>
      <c r="C394" s="402">
        <v>185916</v>
      </c>
      <c r="D394" s="402">
        <v>1984</v>
      </c>
      <c r="E394">
        <v>0</v>
      </c>
      <c r="F394" s="402">
        <v>187900</v>
      </c>
    </row>
    <row r="395" spans="1:6">
      <c r="A395">
        <v>22221</v>
      </c>
      <c r="B395" t="s">
        <v>413</v>
      </c>
      <c r="C395" s="402">
        <v>0</v>
      </c>
      <c r="D395" s="402">
        <v>7048629873.5600004</v>
      </c>
      <c r="E395" s="402">
        <v>568211599.72000003</v>
      </c>
      <c r="F395" s="402">
        <v>6480418273.8400002</v>
      </c>
    </row>
    <row r="396" spans="1:6">
      <c r="A396">
        <v>22222</v>
      </c>
      <c r="B396" t="s">
        <v>414</v>
      </c>
      <c r="C396" s="402">
        <v>0</v>
      </c>
      <c r="D396" s="402">
        <v>90202112.189999998</v>
      </c>
      <c r="E396" s="402">
        <v>982845.6</v>
      </c>
      <c r="F396" s="402">
        <v>89219266.590000004</v>
      </c>
    </row>
    <row r="397" spans="1:6">
      <c r="A397">
        <v>22250</v>
      </c>
      <c r="B397" t="s">
        <v>415</v>
      </c>
      <c r="C397" s="402">
        <v>0</v>
      </c>
      <c r="D397" s="402">
        <v>546794982.55999994</v>
      </c>
      <c r="E397" s="402">
        <v>7127695339.9499998</v>
      </c>
      <c r="F397" s="402">
        <v>-6580900357.3900003</v>
      </c>
    </row>
    <row r="398" spans="1:6">
      <c r="A398">
        <v>22251</v>
      </c>
      <c r="B398" t="s">
        <v>416</v>
      </c>
      <c r="C398" s="402">
        <v>0</v>
      </c>
      <c r="D398" s="402">
        <v>912657339.83000004</v>
      </c>
      <c r="E398" s="402">
        <v>7395096.3200000003</v>
      </c>
      <c r="F398" s="402">
        <v>905262243.50999999</v>
      </c>
    </row>
    <row r="399" spans="1:6">
      <c r="A399">
        <v>22253</v>
      </c>
      <c r="B399" t="s">
        <v>417</v>
      </c>
      <c r="C399" s="402">
        <v>0</v>
      </c>
      <c r="D399" s="402">
        <v>3068289603.2399998</v>
      </c>
      <c r="E399" s="402">
        <v>24802734.260000002</v>
      </c>
      <c r="F399" s="402">
        <v>3043486868.98</v>
      </c>
    </row>
    <row r="400" spans="1:6">
      <c r="A400">
        <v>22254</v>
      </c>
      <c r="B400" t="s">
        <v>418</v>
      </c>
      <c r="C400" s="402">
        <v>0</v>
      </c>
      <c r="D400" s="402">
        <v>251555725.25999999</v>
      </c>
      <c r="E400" s="402">
        <v>1086870.24</v>
      </c>
      <c r="F400" s="402">
        <v>250468855.02000001</v>
      </c>
    </row>
    <row r="401" spans="1:6">
      <c r="A401">
        <v>22255</v>
      </c>
      <c r="B401" t="s">
        <v>419</v>
      </c>
      <c r="C401">
        <v>0</v>
      </c>
      <c r="D401" s="402">
        <v>2444977815.5999999</v>
      </c>
      <c r="E401" s="402">
        <v>511664153.69999999</v>
      </c>
      <c r="F401" s="402">
        <v>1933313661.9000001</v>
      </c>
    </row>
    <row r="402" spans="1:6">
      <c r="A402">
        <v>22256</v>
      </c>
      <c r="B402" t="s">
        <v>420</v>
      </c>
      <c r="C402">
        <v>0</v>
      </c>
      <c r="D402" s="402">
        <v>94532421.349999994</v>
      </c>
      <c r="E402" s="402">
        <v>0</v>
      </c>
      <c r="F402" s="402">
        <v>94532421.349999994</v>
      </c>
    </row>
    <row r="403" spans="1:6">
      <c r="A403">
        <v>22257</v>
      </c>
      <c r="B403" t="s">
        <v>421</v>
      </c>
      <c r="C403">
        <v>0</v>
      </c>
      <c r="D403" s="402">
        <v>125936219.54000001</v>
      </c>
      <c r="E403" s="402">
        <v>353056</v>
      </c>
      <c r="F403" s="402">
        <v>125583163.54000001</v>
      </c>
    </row>
    <row r="404" spans="1:6">
      <c r="A404">
        <v>22259</v>
      </c>
      <c r="B404" t="s">
        <v>422</v>
      </c>
      <c r="C404">
        <v>0</v>
      </c>
      <c r="D404" s="402">
        <v>229746215.13</v>
      </c>
      <c r="E404" s="402">
        <v>1493072.04</v>
      </c>
      <c r="F404" s="402">
        <v>228253143.09</v>
      </c>
    </row>
    <row r="405" spans="1:6">
      <c r="A405">
        <v>22300</v>
      </c>
      <c r="B405" t="s">
        <v>423</v>
      </c>
      <c r="C405">
        <v>0</v>
      </c>
      <c r="D405" s="402">
        <v>989932922.85000002</v>
      </c>
      <c r="E405" s="402">
        <v>3568940821.0500002</v>
      </c>
      <c r="F405" s="402">
        <v>-2579007898.1999998</v>
      </c>
    </row>
    <row r="406" spans="1:6">
      <c r="A406">
        <v>22321</v>
      </c>
      <c r="B406" t="s">
        <v>424</v>
      </c>
      <c r="C406">
        <v>0</v>
      </c>
      <c r="D406" s="402">
        <v>1579539686.03</v>
      </c>
      <c r="E406" s="402">
        <v>2774999969.5500002</v>
      </c>
      <c r="F406" s="402">
        <v>-1195460283.52</v>
      </c>
    </row>
    <row r="407" spans="1:6">
      <c r="A407">
        <v>22391</v>
      </c>
      <c r="B407" t="s">
        <v>425</v>
      </c>
      <c r="C407" s="402">
        <v>0</v>
      </c>
      <c r="D407" s="402">
        <v>2248686183.3699999</v>
      </c>
      <c r="E407" s="402">
        <v>326392196.14999998</v>
      </c>
      <c r="F407" s="402">
        <v>1922293987.22</v>
      </c>
    </row>
    <row r="408" spans="1:6">
      <c r="A408">
        <v>22392</v>
      </c>
      <c r="B408" t="s">
        <v>426</v>
      </c>
      <c r="C408" s="402">
        <v>0</v>
      </c>
      <c r="D408" s="402">
        <v>231782118.27000001</v>
      </c>
      <c r="E408" s="402">
        <v>38037504.329999998</v>
      </c>
      <c r="F408" s="402">
        <v>193744613.94</v>
      </c>
    </row>
    <row r="409" spans="1:6">
      <c r="A409">
        <v>22393</v>
      </c>
      <c r="B409" t="s">
        <v>427</v>
      </c>
      <c r="C409" s="402">
        <v>0</v>
      </c>
      <c r="D409" s="402">
        <v>137126495.72999999</v>
      </c>
      <c r="E409" s="402">
        <v>43943635.939999998</v>
      </c>
      <c r="F409" s="402">
        <v>93182859.790000007</v>
      </c>
    </row>
    <row r="410" spans="1:6">
      <c r="A410">
        <v>22399</v>
      </c>
      <c r="B410" t="s">
        <v>428</v>
      </c>
      <c r="C410" s="402">
        <v>0</v>
      </c>
      <c r="D410" s="402">
        <v>372303322.69</v>
      </c>
      <c r="E410" s="402">
        <v>2581524783.6399999</v>
      </c>
      <c r="F410" s="402">
        <v>-2209221460.9499998</v>
      </c>
    </row>
    <row r="411" spans="1:6">
      <c r="A411">
        <v>22400</v>
      </c>
      <c r="B411" t="s">
        <v>429</v>
      </c>
      <c r="C411" s="402">
        <v>0</v>
      </c>
      <c r="D411" s="402">
        <v>3280288952.6900001</v>
      </c>
      <c r="E411" s="402">
        <v>400948083.76999998</v>
      </c>
      <c r="F411" s="402">
        <v>2879340868.9200001</v>
      </c>
    </row>
    <row r="412" spans="1:6">
      <c r="A412">
        <v>22450</v>
      </c>
      <c r="B412" t="s">
        <v>430</v>
      </c>
      <c r="C412" s="402">
        <v>0</v>
      </c>
      <c r="D412" s="402">
        <v>96227818.930000007</v>
      </c>
      <c r="E412" s="402">
        <v>3225359492.8299999</v>
      </c>
      <c r="F412" s="402">
        <v>-3129131673.9000001</v>
      </c>
    </row>
    <row r="413" spans="1:6">
      <c r="A413">
        <v>22500</v>
      </c>
      <c r="B413" t="s">
        <v>151</v>
      </c>
      <c r="C413" s="402">
        <v>0</v>
      </c>
      <c r="D413" s="402">
        <v>1284.04</v>
      </c>
      <c r="E413" s="402">
        <v>1037.8</v>
      </c>
      <c r="F413" s="402">
        <v>246.24</v>
      </c>
    </row>
    <row r="414" spans="1:6">
      <c r="A414">
        <v>22620</v>
      </c>
      <c r="B414" t="s">
        <v>431</v>
      </c>
      <c r="C414" s="402">
        <v>1293942810.54</v>
      </c>
      <c r="D414" s="402">
        <v>0</v>
      </c>
      <c r="E414" s="402">
        <v>0</v>
      </c>
      <c r="F414" s="402">
        <v>1293942810.54</v>
      </c>
    </row>
    <row r="415" spans="1:6">
      <c r="A415">
        <v>22640</v>
      </c>
      <c r="B415" t="s">
        <v>432</v>
      </c>
      <c r="C415" s="402">
        <v>308323822.42000002</v>
      </c>
      <c r="D415" s="402">
        <v>483213041.99000001</v>
      </c>
      <c r="E415" s="402">
        <v>619625140.58000004</v>
      </c>
      <c r="F415" s="402">
        <v>171911723.83000001</v>
      </c>
    </row>
    <row r="416" spans="1:6">
      <c r="A416">
        <v>22650</v>
      </c>
      <c r="B416" t="s">
        <v>433</v>
      </c>
      <c r="C416" s="402">
        <v>102365420.90000001</v>
      </c>
      <c r="D416" s="402">
        <v>241555010.47999999</v>
      </c>
      <c r="E416" s="402">
        <v>208104628.34999999</v>
      </c>
      <c r="F416" s="402">
        <v>135815803.03</v>
      </c>
    </row>
    <row r="417" spans="1:6">
      <c r="A417">
        <v>22655</v>
      </c>
      <c r="B417" t="s">
        <v>434</v>
      </c>
      <c r="C417" s="402">
        <v>16789414.219999999</v>
      </c>
      <c r="D417" s="402">
        <v>1631820</v>
      </c>
      <c r="E417" s="402">
        <v>1631820</v>
      </c>
      <c r="F417" s="402">
        <v>16789414.219999999</v>
      </c>
    </row>
    <row r="418" spans="1:6">
      <c r="A418">
        <v>22680</v>
      </c>
      <c r="B418" t="s">
        <v>435</v>
      </c>
      <c r="C418" s="402">
        <v>5837613.9000000004</v>
      </c>
      <c r="D418" s="402">
        <v>6001136.4800000004</v>
      </c>
      <c r="E418" s="402">
        <v>11284671.68</v>
      </c>
      <c r="F418" s="402">
        <v>554078.69999999995</v>
      </c>
    </row>
    <row r="419" spans="1:6">
      <c r="A419">
        <v>22710</v>
      </c>
      <c r="B419" t="s">
        <v>1230</v>
      </c>
      <c r="C419" s="402">
        <v>0</v>
      </c>
      <c r="D419" s="402">
        <v>1488480</v>
      </c>
      <c r="E419" s="402">
        <v>1488480</v>
      </c>
      <c r="F419" s="402">
        <v>0</v>
      </c>
    </row>
    <row r="420" spans="1:6">
      <c r="A420">
        <v>22715</v>
      </c>
      <c r="B420" t="s">
        <v>436</v>
      </c>
      <c r="C420" s="402">
        <v>100026351.41</v>
      </c>
      <c r="D420" s="402">
        <v>167732414.99000001</v>
      </c>
      <c r="E420" s="402">
        <v>114680567.63</v>
      </c>
      <c r="F420" s="402">
        <v>153078198.77000001</v>
      </c>
    </row>
    <row r="421" spans="1:6">
      <c r="A421">
        <v>22722</v>
      </c>
      <c r="B421" t="s">
        <v>437</v>
      </c>
      <c r="C421" s="402">
        <v>183781748.63</v>
      </c>
      <c r="D421" s="402">
        <v>622710943.60000002</v>
      </c>
      <c r="E421" s="402">
        <v>691705274.26999998</v>
      </c>
      <c r="F421" s="402">
        <v>114787417.95999999</v>
      </c>
    </row>
    <row r="422" spans="1:6">
      <c r="A422">
        <v>22724</v>
      </c>
      <c r="B422" t="s">
        <v>438</v>
      </c>
      <c r="C422" s="402">
        <v>152701646.11000001</v>
      </c>
      <c r="D422" s="402">
        <v>237177636.34999999</v>
      </c>
      <c r="E422" s="402">
        <v>33309817.32</v>
      </c>
      <c r="F422" s="402">
        <v>356569465.13999999</v>
      </c>
    </row>
    <row r="423" spans="1:6">
      <c r="A423">
        <v>22731</v>
      </c>
      <c r="B423" t="s">
        <v>439</v>
      </c>
      <c r="C423" s="402">
        <v>0</v>
      </c>
      <c r="D423" s="402">
        <v>20222061.170000002</v>
      </c>
      <c r="E423" s="402">
        <v>169246999.49000001</v>
      </c>
      <c r="F423" s="402">
        <v>-149024938.31999999</v>
      </c>
    </row>
    <row r="424" spans="1:6">
      <c r="A424">
        <v>22735</v>
      </c>
      <c r="B424" t="s">
        <v>440</v>
      </c>
      <c r="C424" s="402">
        <v>514180.97</v>
      </c>
      <c r="D424" s="402">
        <v>856931.83999999997</v>
      </c>
      <c r="E424" s="402">
        <v>89732.13</v>
      </c>
      <c r="F424" s="402">
        <v>1281380.68</v>
      </c>
    </row>
    <row r="425" spans="1:6">
      <c r="A425">
        <v>22760</v>
      </c>
      <c r="B425" t="s">
        <v>441</v>
      </c>
      <c r="C425" s="402">
        <v>23751431.34</v>
      </c>
      <c r="D425" s="402">
        <v>79933114.890000001</v>
      </c>
      <c r="E425" s="402">
        <v>81055761.629999995</v>
      </c>
      <c r="F425" s="402">
        <v>22628784.600000001</v>
      </c>
    </row>
    <row r="426" spans="1:6">
      <c r="A426">
        <v>22773</v>
      </c>
      <c r="B426" t="s">
        <v>442</v>
      </c>
      <c r="C426" s="402">
        <v>0</v>
      </c>
      <c r="D426" s="402">
        <v>688401426.90999997</v>
      </c>
      <c r="E426" s="402">
        <v>5364823.08</v>
      </c>
      <c r="F426" s="402">
        <v>683036603.83000004</v>
      </c>
    </row>
    <row r="427" spans="1:6">
      <c r="A427">
        <v>22777</v>
      </c>
      <c r="B427" t="s">
        <v>443</v>
      </c>
      <c r="C427" s="402">
        <v>0</v>
      </c>
      <c r="D427" s="402">
        <v>19947525.309999999</v>
      </c>
      <c r="E427" s="402">
        <v>564944640.59000003</v>
      </c>
      <c r="F427" s="402">
        <v>-544997115.27999997</v>
      </c>
    </row>
    <row r="428" spans="1:6">
      <c r="A428">
        <v>22810</v>
      </c>
      <c r="B428" t="s">
        <v>444</v>
      </c>
      <c r="C428" s="402">
        <v>-3621024.33</v>
      </c>
      <c r="D428" s="402">
        <v>0</v>
      </c>
      <c r="E428" s="402">
        <v>0</v>
      </c>
      <c r="F428" s="402">
        <v>-3621024.33</v>
      </c>
    </row>
    <row r="429" spans="1:6">
      <c r="A429">
        <v>22811</v>
      </c>
      <c r="B429" t="s">
        <v>445</v>
      </c>
      <c r="C429" s="402">
        <v>3621024.33</v>
      </c>
      <c r="D429" s="402">
        <v>0</v>
      </c>
      <c r="E429" s="402">
        <v>0</v>
      </c>
      <c r="F429" s="402">
        <v>3621024.33</v>
      </c>
    </row>
    <row r="430" spans="1:6">
      <c r="A430">
        <v>22830</v>
      </c>
      <c r="B430" t="s">
        <v>446</v>
      </c>
      <c r="C430" s="402">
        <v>10230984.92</v>
      </c>
      <c r="D430" s="402">
        <v>0</v>
      </c>
      <c r="E430" s="402">
        <v>0</v>
      </c>
      <c r="F430" s="402">
        <v>10230984.92</v>
      </c>
    </row>
    <row r="431" spans="1:6">
      <c r="A431">
        <v>22832</v>
      </c>
      <c r="B431" t="s">
        <v>447</v>
      </c>
      <c r="C431" s="402">
        <v>468656</v>
      </c>
      <c r="D431">
        <v>0</v>
      </c>
      <c r="E431" s="402">
        <v>0</v>
      </c>
      <c r="F431" s="402">
        <v>468656</v>
      </c>
    </row>
    <row r="432" spans="1:6">
      <c r="A432">
        <v>22833</v>
      </c>
      <c r="B432" t="s">
        <v>448</v>
      </c>
      <c r="C432" s="402">
        <v>-10230984.92</v>
      </c>
      <c r="D432">
        <v>0</v>
      </c>
      <c r="E432" s="402">
        <v>0</v>
      </c>
      <c r="F432" s="402">
        <v>-10230984.92</v>
      </c>
    </row>
    <row r="433" spans="1:6">
      <c r="A433">
        <v>23101</v>
      </c>
      <c r="B433" t="s">
        <v>449</v>
      </c>
      <c r="C433" s="402">
        <v>-414684317.14999998</v>
      </c>
      <c r="D433" s="402">
        <v>21228033823.919998</v>
      </c>
      <c r="E433" s="402">
        <v>20145281520.490002</v>
      </c>
      <c r="F433" s="402">
        <v>668067986.27999997</v>
      </c>
    </row>
    <row r="434" spans="1:6">
      <c r="A434">
        <v>23102</v>
      </c>
      <c r="B434" t="s">
        <v>450</v>
      </c>
      <c r="C434" s="402">
        <v>-39219048.799999997</v>
      </c>
      <c r="D434" s="402">
        <v>696747475.57000005</v>
      </c>
      <c r="E434" s="402">
        <v>651896883.10000002</v>
      </c>
      <c r="F434" s="402">
        <v>5631543.6699999999</v>
      </c>
    </row>
    <row r="435" spans="1:6">
      <c r="A435">
        <v>23103</v>
      </c>
      <c r="B435" t="s">
        <v>451</v>
      </c>
      <c r="C435" s="402">
        <v>-3715291627.9299998</v>
      </c>
      <c r="D435" s="402">
        <v>46441024847.410004</v>
      </c>
      <c r="E435" s="402">
        <v>45980378806.360001</v>
      </c>
      <c r="F435" s="402">
        <v>-3254645586.8800001</v>
      </c>
    </row>
    <row r="436" spans="1:6">
      <c r="A436">
        <v>23104</v>
      </c>
      <c r="B436" t="s">
        <v>452</v>
      </c>
      <c r="C436" s="402">
        <v>-2215635121.3699999</v>
      </c>
      <c r="D436" s="402">
        <v>115193080218.41</v>
      </c>
      <c r="E436" s="402">
        <v>116182123222.69</v>
      </c>
      <c r="F436" s="402">
        <v>-3204678125.6500001</v>
      </c>
    </row>
    <row r="437" spans="1:6">
      <c r="A437">
        <v>23106</v>
      </c>
      <c r="B437" t="s">
        <v>453</v>
      </c>
      <c r="C437" s="402">
        <v>-4556562.05</v>
      </c>
      <c r="D437" s="402">
        <v>74006051.879999995</v>
      </c>
      <c r="E437" s="402">
        <v>77426282.879999995</v>
      </c>
      <c r="F437" s="402">
        <v>-7976793.0499999998</v>
      </c>
    </row>
    <row r="438" spans="1:6">
      <c r="A438">
        <v>23107</v>
      </c>
      <c r="B438" t="s">
        <v>454</v>
      </c>
      <c r="C438" s="402">
        <v>104404516.02</v>
      </c>
      <c r="D438" s="402">
        <v>653250096.11000001</v>
      </c>
      <c r="E438" s="402">
        <v>466131095.47000003</v>
      </c>
      <c r="F438" s="402">
        <v>291523516.66000003</v>
      </c>
    </row>
    <row r="439" spans="1:6">
      <c r="A439">
        <v>23108</v>
      </c>
      <c r="B439" t="s">
        <v>455</v>
      </c>
      <c r="C439" s="402">
        <v>93340131.239999995</v>
      </c>
      <c r="D439" s="402">
        <v>1644153982.49</v>
      </c>
      <c r="E439" s="402">
        <v>1506160947.1199999</v>
      </c>
      <c r="F439" s="402">
        <v>231333166.61000001</v>
      </c>
    </row>
    <row r="440" spans="1:6">
      <c r="A440">
        <v>23131</v>
      </c>
      <c r="B440" t="s">
        <v>456</v>
      </c>
      <c r="C440" s="402">
        <v>5568482.4900000002</v>
      </c>
      <c r="D440" s="402">
        <v>102417861.13</v>
      </c>
      <c r="E440" s="402">
        <v>84846911.540000007</v>
      </c>
      <c r="F440" s="402">
        <v>23139432.079999998</v>
      </c>
    </row>
    <row r="441" spans="1:6">
      <c r="A441">
        <v>23136</v>
      </c>
      <c r="B441" t="s">
        <v>457</v>
      </c>
      <c r="C441" s="402">
        <v>-67514260.390000001</v>
      </c>
      <c r="D441" s="402">
        <v>688107802.52999997</v>
      </c>
      <c r="E441" s="402">
        <v>7015251.7599999998</v>
      </c>
      <c r="F441" s="402">
        <v>613578290.38</v>
      </c>
    </row>
    <row r="442" spans="1:6">
      <c r="A442">
        <v>23138</v>
      </c>
      <c r="B442" t="s">
        <v>458</v>
      </c>
      <c r="C442" s="402">
        <v>69048446.989999995</v>
      </c>
      <c r="D442" s="402">
        <v>3801499.21</v>
      </c>
      <c r="E442" s="402">
        <v>4719246.9800000004</v>
      </c>
      <c r="F442" s="402">
        <v>68130699.219999999</v>
      </c>
    </row>
    <row r="443" spans="1:6">
      <c r="A443">
        <v>23301</v>
      </c>
      <c r="B443" t="s">
        <v>459</v>
      </c>
      <c r="C443" s="402">
        <v>0</v>
      </c>
      <c r="D443" s="402">
        <v>2112032766.6300001</v>
      </c>
      <c r="E443" s="402">
        <v>159642439883.78</v>
      </c>
      <c r="F443" s="402">
        <v>-157530407117.14999</v>
      </c>
    </row>
    <row r="444" spans="1:6">
      <c r="A444">
        <v>23302</v>
      </c>
      <c r="B444" t="s">
        <v>460</v>
      </c>
      <c r="C444" s="402">
        <v>0</v>
      </c>
      <c r="D444" s="402">
        <v>608967817.34000003</v>
      </c>
      <c r="E444" s="402">
        <v>13333629376.32</v>
      </c>
      <c r="F444" s="402">
        <v>-12724661558.98</v>
      </c>
    </row>
    <row r="445" spans="1:6">
      <c r="A445">
        <v>23303</v>
      </c>
      <c r="B445" t="s">
        <v>461</v>
      </c>
      <c r="C445" s="402">
        <v>0</v>
      </c>
      <c r="D445" s="402">
        <v>3941.16</v>
      </c>
      <c r="E445" s="402">
        <v>3617.98</v>
      </c>
      <c r="F445" s="402">
        <v>323.18</v>
      </c>
    </row>
    <row r="446" spans="1:6">
      <c r="A446">
        <v>23304</v>
      </c>
      <c r="B446" t="s">
        <v>1231</v>
      </c>
      <c r="C446" s="402">
        <v>0</v>
      </c>
      <c r="D446" s="402">
        <v>0</v>
      </c>
      <c r="E446" s="402">
        <v>219363.33</v>
      </c>
      <c r="F446" s="402">
        <v>-219363.33</v>
      </c>
    </row>
    <row r="447" spans="1:6">
      <c r="A447">
        <v>23351</v>
      </c>
      <c r="B447" t="s">
        <v>462</v>
      </c>
      <c r="C447" s="402">
        <v>0</v>
      </c>
      <c r="D447" s="402">
        <v>171819736636.01001</v>
      </c>
      <c r="E447" s="402">
        <v>3438713</v>
      </c>
      <c r="F447" s="402">
        <v>171816297923.01001</v>
      </c>
    </row>
    <row r="448" spans="1:6">
      <c r="A448">
        <v>23352</v>
      </c>
      <c r="B448" t="s">
        <v>463</v>
      </c>
      <c r="C448" s="402">
        <v>0</v>
      </c>
      <c r="D448" s="402">
        <v>13186779186.040001</v>
      </c>
      <c r="E448" s="402">
        <v>528224116.31999999</v>
      </c>
      <c r="F448" s="402">
        <v>12658555069.719999</v>
      </c>
    </row>
    <row r="449" spans="1:6">
      <c r="A449">
        <v>23353</v>
      </c>
      <c r="B449" t="s">
        <v>464</v>
      </c>
      <c r="C449" s="402">
        <v>0</v>
      </c>
      <c r="D449" s="402">
        <v>2950</v>
      </c>
      <c r="E449" s="402">
        <v>3274.18</v>
      </c>
      <c r="F449" s="402">
        <v>-324.18</v>
      </c>
    </row>
    <row r="450" spans="1:6">
      <c r="A450">
        <v>23354</v>
      </c>
      <c r="B450" t="s">
        <v>465</v>
      </c>
      <c r="C450" s="402">
        <v>0</v>
      </c>
      <c r="D450" s="402">
        <v>51865718.640000001</v>
      </c>
      <c r="E450" s="402">
        <v>4346260</v>
      </c>
      <c r="F450" s="402">
        <v>47519458.640000001</v>
      </c>
    </row>
    <row r="451" spans="1:6">
      <c r="A451">
        <v>23390</v>
      </c>
      <c r="B451" t="s">
        <v>466</v>
      </c>
      <c r="C451" s="402">
        <v>0</v>
      </c>
      <c r="D451" s="402">
        <v>312099827.93000001</v>
      </c>
      <c r="E451" s="402">
        <v>311909166.25</v>
      </c>
      <c r="F451" s="402">
        <v>190661.68</v>
      </c>
    </row>
    <row r="452" spans="1:6">
      <c r="A452">
        <v>23401</v>
      </c>
      <c r="B452" t="s">
        <v>467</v>
      </c>
      <c r="C452" s="402">
        <v>2393516252.1999998</v>
      </c>
      <c r="D452" s="402">
        <v>112938195.43000001</v>
      </c>
      <c r="E452" s="402">
        <v>2345838434.8099999</v>
      </c>
      <c r="F452" s="402">
        <v>160616012.81999999</v>
      </c>
    </row>
    <row r="453" spans="1:6">
      <c r="A453">
        <v>23402</v>
      </c>
      <c r="B453" t="s">
        <v>468</v>
      </c>
      <c r="C453" s="402">
        <v>74010974.400000006</v>
      </c>
      <c r="D453" s="402">
        <v>7957240.0599999996</v>
      </c>
      <c r="E453" s="402">
        <v>78102123.840000004</v>
      </c>
      <c r="F453" s="402">
        <v>3866090.62</v>
      </c>
    </row>
    <row r="454" spans="1:6">
      <c r="A454">
        <v>23403</v>
      </c>
      <c r="B454" t="s">
        <v>469</v>
      </c>
      <c r="C454" s="402">
        <v>4460175728.1899996</v>
      </c>
      <c r="D454" s="402">
        <v>67143384.930000007</v>
      </c>
      <c r="E454" s="402">
        <v>3722557117.3000002</v>
      </c>
      <c r="F454" s="402">
        <v>804761995.82000005</v>
      </c>
    </row>
    <row r="455" spans="1:6">
      <c r="A455">
        <v>23404</v>
      </c>
      <c r="B455" t="s">
        <v>470</v>
      </c>
      <c r="C455" s="402">
        <v>11524757564.870001</v>
      </c>
      <c r="D455" s="402">
        <v>43068256.840000004</v>
      </c>
      <c r="E455" s="402">
        <v>10123071881.35</v>
      </c>
      <c r="F455" s="402">
        <v>1444753940.3599999</v>
      </c>
    </row>
    <row r="456" spans="1:6">
      <c r="A456">
        <v>23406</v>
      </c>
      <c r="B456" t="s">
        <v>471</v>
      </c>
      <c r="C456" s="402">
        <v>5345679.37</v>
      </c>
      <c r="D456">
        <v>0</v>
      </c>
      <c r="E456" s="402">
        <v>5345679.37</v>
      </c>
      <c r="F456" s="402">
        <v>0</v>
      </c>
    </row>
    <row r="457" spans="1:6">
      <c r="A457">
        <v>23407</v>
      </c>
      <c r="B457" t="s">
        <v>472</v>
      </c>
      <c r="C457" s="402">
        <v>119685939.56</v>
      </c>
      <c r="D457" s="402">
        <v>22112834.469999999</v>
      </c>
      <c r="E457" s="402">
        <v>134674036.02000001</v>
      </c>
      <c r="F457" s="402">
        <v>7124738.0099999998</v>
      </c>
    </row>
    <row r="458" spans="1:6">
      <c r="A458">
        <v>23408</v>
      </c>
      <c r="B458" t="s">
        <v>473</v>
      </c>
      <c r="C458" s="402">
        <v>178064376.81</v>
      </c>
      <c r="D458" s="402">
        <v>18705949.850000001</v>
      </c>
      <c r="E458" s="402">
        <v>181148107.38</v>
      </c>
      <c r="F458" s="402">
        <v>15622219.279999999</v>
      </c>
    </row>
    <row r="459" spans="1:6">
      <c r="A459">
        <v>23420</v>
      </c>
      <c r="B459" t="s">
        <v>474</v>
      </c>
      <c r="C459" s="402">
        <v>37994309.530000001</v>
      </c>
      <c r="D459" s="402">
        <v>2332432.21</v>
      </c>
      <c r="E459" s="402">
        <v>35266710.149999999</v>
      </c>
      <c r="F459" s="402">
        <v>5060031.59</v>
      </c>
    </row>
    <row r="460" spans="1:6">
      <c r="A460">
        <v>23500</v>
      </c>
      <c r="B460" t="s">
        <v>158</v>
      </c>
      <c r="C460" s="402">
        <v>3765753468.9699998</v>
      </c>
      <c r="D460" s="402">
        <v>4903469078.1700001</v>
      </c>
      <c r="E460" s="402">
        <v>294976081.44999999</v>
      </c>
      <c r="F460" s="402">
        <v>8374246465.6899996</v>
      </c>
    </row>
    <row r="461" spans="1:6">
      <c r="A461">
        <v>23700</v>
      </c>
      <c r="B461" t="s">
        <v>475</v>
      </c>
      <c r="C461" s="402">
        <v>72971.520000000004</v>
      </c>
      <c r="D461">
        <v>0</v>
      </c>
      <c r="E461" s="402">
        <v>72971.520000000004</v>
      </c>
      <c r="F461" s="402">
        <v>0</v>
      </c>
    </row>
    <row r="462" spans="1:6">
      <c r="A462">
        <v>23710</v>
      </c>
      <c r="B462" t="s">
        <v>476</v>
      </c>
      <c r="C462" s="402">
        <v>3567627.58</v>
      </c>
      <c r="D462" s="402">
        <v>81379189.459999993</v>
      </c>
      <c r="E462" s="402">
        <v>57916067.899999999</v>
      </c>
      <c r="F462" s="402">
        <v>27030749.140000001</v>
      </c>
    </row>
    <row r="463" spans="1:6">
      <c r="A463">
        <v>23718</v>
      </c>
      <c r="B463" t="s">
        <v>477</v>
      </c>
      <c r="C463" s="402">
        <v>-8538651.0199999996</v>
      </c>
      <c r="D463" s="402">
        <v>1657110.02</v>
      </c>
      <c r="E463" s="402">
        <v>895137.62</v>
      </c>
      <c r="F463" s="402">
        <v>-7776678.6200000001</v>
      </c>
    </row>
    <row r="464" spans="1:6">
      <c r="A464">
        <v>23719</v>
      </c>
      <c r="B464" t="s">
        <v>478</v>
      </c>
      <c r="C464" s="402">
        <v>1309086.05</v>
      </c>
      <c r="D464" s="402">
        <v>813211.28</v>
      </c>
      <c r="E464" s="402">
        <v>922821.8</v>
      </c>
      <c r="F464" s="402">
        <v>1199475.53</v>
      </c>
    </row>
    <row r="465" spans="1:6">
      <c r="A465">
        <v>23720</v>
      </c>
      <c r="B465" t="s">
        <v>479</v>
      </c>
      <c r="C465" s="402">
        <v>379839013.41000003</v>
      </c>
      <c r="D465" s="402">
        <v>104251040.63</v>
      </c>
      <c r="E465" s="402">
        <v>49782733.409999996</v>
      </c>
      <c r="F465" s="402">
        <v>434307320.63</v>
      </c>
    </row>
    <row r="466" spans="1:6">
      <c r="A466">
        <v>23900</v>
      </c>
      <c r="B466" t="s">
        <v>160</v>
      </c>
      <c r="C466" s="402">
        <v>-2528664275.0599999</v>
      </c>
      <c r="D466" s="402">
        <v>0</v>
      </c>
      <c r="E466">
        <v>0</v>
      </c>
      <c r="F466" s="402">
        <v>-2528664275.0599999</v>
      </c>
    </row>
    <row r="467" spans="1:6">
      <c r="A467">
        <v>23950</v>
      </c>
      <c r="B467" t="s">
        <v>480</v>
      </c>
      <c r="C467" s="402">
        <v>-2187456077.1100001</v>
      </c>
      <c r="D467">
        <v>0</v>
      </c>
      <c r="E467">
        <v>0</v>
      </c>
      <c r="F467" s="402">
        <v>-2187456077.1100001</v>
      </c>
    </row>
    <row r="468" spans="1:6">
      <c r="A468">
        <v>24110</v>
      </c>
      <c r="B468" t="s">
        <v>481</v>
      </c>
      <c r="C468" s="402">
        <v>218082.76</v>
      </c>
      <c r="D468" s="402">
        <v>7836301</v>
      </c>
      <c r="E468" s="402">
        <v>7886546</v>
      </c>
      <c r="F468" s="402">
        <v>167837.76</v>
      </c>
    </row>
    <row r="469" spans="1:6">
      <c r="A469">
        <v>24111</v>
      </c>
      <c r="B469" t="s">
        <v>482</v>
      </c>
      <c r="C469" s="402">
        <v>160870826.55000001</v>
      </c>
      <c r="D469" s="402">
        <v>38449961104.830002</v>
      </c>
      <c r="E469" s="402">
        <v>38294871614.919998</v>
      </c>
      <c r="F469" s="402">
        <v>315960316.45999998</v>
      </c>
    </row>
    <row r="470" spans="1:6">
      <c r="A470">
        <v>24120</v>
      </c>
      <c r="B470" t="s">
        <v>483</v>
      </c>
      <c r="C470" s="402">
        <v>1470253</v>
      </c>
      <c r="D470" s="402">
        <v>621310</v>
      </c>
      <c r="E470" s="402">
        <v>461830</v>
      </c>
      <c r="F470" s="402">
        <v>1629733</v>
      </c>
    </row>
    <row r="471" spans="1:6">
      <c r="A471">
        <v>24150</v>
      </c>
      <c r="B471" t="s">
        <v>484</v>
      </c>
      <c r="C471" s="402">
        <v>956200</v>
      </c>
      <c r="D471" s="402">
        <v>6711300</v>
      </c>
      <c r="E471" s="402">
        <v>1363000</v>
      </c>
      <c r="F471" s="402">
        <v>6304500</v>
      </c>
    </row>
    <row r="472" spans="1:6">
      <c r="A472">
        <v>24210</v>
      </c>
      <c r="B472" t="s">
        <v>485</v>
      </c>
      <c r="C472" s="402">
        <v>0</v>
      </c>
      <c r="D472" s="402">
        <v>5556432.2000000002</v>
      </c>
      <c r="E472" s="402">
        <v>4211499.2</v>
      </c>
      <c r="F472" s="402">
        <v>1344933</v>
      </c>
    </row>
    <row r="473" spans="1:6">
      <c r="A473">
        <v>24220</v>
      </c>
      <c r="B473" t="s">
        <v>486</v>
      </c>
      <c r="C473" s="402">
        <v>0</v>
      </c>
      <c r="D473" s="402">
        <v>8731391</v>
      </c>
      <c r="E473" s="402">
        <v>7023795</v>
      </c>
      <c r="F473" s="402">
        <v>1707596</v>
      </c>
    </row>
    <row r="474" spans="1:6">
      <c r="A474">
        <v>24301</v>
      </c>
      <c r="B474" t="s">
        <v>487</v>
      </c>
      <c r="C474" s="402">
        <v>891983341.65999997</v>
      </c>
      <c r="D474" s="402">
        <v>30749958538.880001</v>
      </c>
      <c r="E474" s="402">
        <v>19989738901.27</v>
      </c>
      <c r="F474" s="402">
        <v>11652202979.27</v>
      </c>
    </row>
    <row r="475" spans="1:6">
      <c r="A475">
        <v>24302</v>
      </c>
      <c r="B475" t="s">
        <v>488</v>
      </c>
      <c r="C475" s="402">
        <v>7074152.96</v>
      </c>
      <c r="D475" s="402">
        <v>15334634748.52</v>
      </c>
      <c r="E475" s="402">
        <v>11890697939.139999</v>
      </c>
      <c r="F475" s="402">
        <v>3451010962.3400002</v>
      </c>
    </row>
    <row r="476" spans="1:6">
      <c r="A476">
        <v>24303</v>
      </c>
      <c r="B476" t="s">
        <v>489</v>
      </c>
      <c r="C476" s="402">
        <v>1684236.26</v>
      </c>
      <c r="D476" s="402">
        <v>470406913.97000003</v>
      </c>
      <c r="E476" s="402">
        <v>436002334.29000002</v>
      </c>
      <c r="F476" s="402">
        <v>36088815.939999998</v>
      </c>
    </row>
    <row r="477" spans="1:6">
      <c r="A477">
        <v>24305</v>
      </c>
      <c r="B477" t="s">
        <v>490</v>
      </c>
      <c r="C477" s="402">
        <v>4025080</v>
      </c>
      <c r="D477" s="402">
        <v>341179015.00999999</v>
      </c>
      <c r="E477" s="402">
        <v>334794340.81</v>
      </c>
      <c r="F477" s="402">
        <v>10409754.199999999</v>
      </c>
    </row>
    <row r="478" spans="1:6">
      <c r="A478">
        <v>24309</v>
      </c>
      <c r="B478" t="s">
        <v>491</v>
      </c>
      <c r="C478" s="402">
        <v>15339784.779999999</v>
      </c>
      <c r="D478" s="402">
        <v>2600880187.1199999</v>
      </c>
      <c r="E478" s="402">
        <v>2210973166.1599998</v>
      </c>
      <c r="F478" s="402">
        <v>405246805.74000001</v>
      </c>
    </row>
    <row r="479" spans="1:6">
      <c r="A479">
        <v>24310</v>
      </c>
      <c r="B479" t="s">
        <v>492</v>
      </c>
      <c r="C479" s="402">
        <v>2105608</v>
      </c>
      <c r="D479">
        <v>0</v>
      </c>
      <c r="E479" s="402">
        <v>0</v>
      </c>
      <c r="F479" s="402">
        <v>2105608</v>
      </c>
    </row>
    <row r="480" spans="1:6">
      <c r="A480">
        <v>24315</v>
      </c>
      <c r="B480" t="s">
        <v>493</v>
      </c>
      <c r="C480" s="402">
        <v>10000</v>
      </c>
      <c r="D480">
        <v>0</v>
      </c>
      <c r="E480" s="402">
        <v>0</v>
      </c>
      <c r="F480" s="402">
        <v>10000</v>
      </c>
    </row>
    <row r="481" spans="1:6">
      <c r="A481">
        <v>24318</v>
      </c>
      <c r="B481" t="s">
        <v>494</v>
      </c>
      <c r="C481" s="402">
        <v>10000</v>
      </c>
      <c r="D481" s="402">
        <v>345627761.13999999</v>
      </c>
      <c r="E481" s="402">
        <v>345627761.13999999</v>
      </c>
      <c r="F481" s="402">
        <v>10000</v>
      </c>
    </row>
    <row r="482" spans="1:6">
      <c r="A482">
        <v>24320</v>
      </c>
      <c r="B482" t="s">
        <v>495</v>
      </c>
      <c r="C482" s="402">
        <v>8127.7</v>
      </c>
      <c r="D482" s="402">
        <v>0</v>
      </c>
      <c r="E482" s="402">
        <v>0</v>
      </c>
      <c r="F482" s="402">
        <v>8127.7</v>
      </c>
    </row>
    <row r="483" spans="1:6">
      <c r="A483">
        <v>24321</v>
      </c>
      <c r="B483" t="s">
        <v>496</v>
      </c>
      <c r="C483" s="402">
        <v>197469288.06999999</v>
      </c>
      <c r="D483" s="402">
        <v>27921147080.459999</v>
      </c>
      <c r="E483" s="402">
        <v>25952017432.369999</v>
      </c>
      <c r="F483" s="402">
        <v>2166598936.1599998</v>
      </c>
    </row>
    <row r="484" spans="1:6">
      <c r="A484">
        <v>24322</v>
      </c>
      <c r="B484" t="s">
        <v>497</v>
      </c>
      <c r="C484" s="402">
        <v>673458248.45000005</v>
      </c>
      <c r="D484" s="402">
        <v>69197547101.410004</v>
      </c>
      <c r="E484" s="402">
        <v>62598815170.949997</v>
      </c>
      <c r="F484" s="402">
        <v>7272190178.9099998</v>
      </c>
    </row>
    <row r="485" spans="1:6">
      <c r="A485">
        <v>24323</v>
      </c>
      <c r="B485" t="s">
        <v>498</v>
      </c>
      <c r="C485" s="402">
        <v>0</v>
      </c>
      <c r="D485">
        <v>0</v>
      </c>
      <c r="E485" s="402">
        <v>566887</v>
      </c>
      <c r="F485" s="402">
        <v>-566887</v>
      </c>
    </row>
    <row r="486" spans="1:6">
      <c r="A486">
        <v>24401</v>
      </c>
      <c r="B486" t="s">
        <v>499</v>
      </c>
      <c r="C486" s="402">
        <v>253092.42</v>
      </c>
      <c r="D486" s="402">
        <v>3100913227.8400002</v>
      </c>
      <c r="E486" s="402">
        <v>3071103828.5300002</v>
      </c>
      <c r="F486" s="402">
        <v>30062491.73</v>
      </c>
    </row>
    <row r="487" spans="1:6">
      <c r="A487">
        <v>24405</v>
      </c>
      <c r="B487" t="s">
        <v>500</v>
      </c>
      <c r="C487" s="402">
        <v>24928.27</v>
      </c>
      <c r="D487" s="402">
        <v>418914489.82999998</v>
      </c>
      <c r="E487" s="402">
        <v>418844661.25</v>
      </c>
      <c r="F487" s="402">
        <v>94756.85</v>
      </c>
    </row>
    <row r="488" spans="1:6">
      <c r="A488">
        <v>24406</v>
      </c>
      <c r="B488" t="s">
        <v>501</v>
      </c>
      <c r="C488" s="402">
        <v>18938</v>
      </c>
      <c r="D488">
        <v>395</v>
      </c>
      <c r="E488">
        <v>0.15</v>
      </c>
      <c r="F488" s="402">
        <v>19332.849999999999</v>
      </c>
    </row>
    <row r="489" spans="1:6">
      <c r="A489">
        <v>24409</v>
      </c>
      <c r="B489" t="s">
        <v>502</v>
      </c>
      <c r="C489" s="402">
        <v>63417.23</v>
      </c>
      <c r="D489" s="402">
        <v>548332062.61000001</v>
      </c>
      <c r="E489" s="402">
        <v>538832885.00999999</v>
      </c>
      <c r="F489" s="402">
        <v>9562594.8300000001</v>
      </c>
    </row>
    <row r="490" spans="1:6">
      <c r="A490">
        <v>24418</v>
      </c>
      <c r="B490" t="s">
        <v>503</v>
      </c>
      <c r="C490" s="402">
        <v>10302.120000000001</v>
      </c>
      <c r="D490" s="402">
        <v>98196054393.660004</v>
      </c>
      <c r="E490" s="402">
        <v>98022295869.320007</v>
      </c>
      <c r="F490" s="402">
        <v>173768826.46000001</v>
      </c>
    </row>
    <row r="491" spans="1:6">
      <c r="A491">
        <v>24431</v>
      </c>
      <c r="B491" t="s">
        <v>1232</v>
      </c>
      <c r="C491">
        <v>0</v>
      </c>
      <c r="D491" s="402">
        <v>972155307</v>
      </c>
      <c r="E491" s="402">
        <v>972155307</v>
      </c>
      <c r="F491" s="402">
        <v>0</v>
      </c>
    </row>
    <row r="492" spans="1:6">
      <c r="A492">
        <v>24436</v>
      </c>
      <c r="B492" t="s">
        <v>504</v>
      </c>
      <c r="C492" s="402">
        <v>53239.19</v>
      </c>
      <c r="D492" s="402">
        <v>765370227.00999999</v>
      </c>
      <c r="E492" s="402">
        <v>765339129.92999995</v>
      </c>
      <c r="F492" s="402">
        <v>84336.27</v>
      </c>
    </row>
    <row r="493" spans="1:6">
      <c r="A493">
        <v>24440</v>
      </c>
      <c r="B493" t="s">
        <v>505</v>
      </c>
      <c r="C493">
        <v>0</v>
      </c>
      <c r="D493" s="402">
        <v>454301954</v>
      </c>
      <c r="E493" s="402">
        <v>5768819.5</v>
      </c>
      <c r="F493" s="402">
        <v>448533134.5</v>
      </c>
    </row>
    <row r="494" spans="1:6">
      <c r="A494">
        <v>24451</v>
      </c>
      <c r="B494" t="s">
        <v>506</v>
      </c>
      <c r="C494" s="402">
        <v>9877.5</v>
      </c>
      <c r="D494" s="402">
        <v>906558850</v>
      </c>
      <c r="E494" s="402">
        <v>906497531.70000005</v>
      </c>
      <c r="F494" s="402">
        <v>71195.8</v>
      </c>
    </row>
    <row r="495" spans="1:6">
      <c r="A495">
        <v>24500</v>
      </c>
      <c r="B495" t="s">
        <v>507</v>
      </c>
      <c r="C495" s="402">
        <v>9690043.2200000007</v>
      </c>
      <c r="D495" s="402">
        <v>199433995364.26999</v>
      </c>
      <c r="E495" s="402">
        <v>158768374315.35001</v>
      </c>
      <c r="F495" s="402">
        <v>40675311092.139999</v>
      </c>
    </row>
    <row r="496" spans="1:6">
      <c r="A496">
        <v>24501</v>
      </c>
      <c r="B496" t="s">
        <v>508</v>
      </c>
      <c r="C496">
        <v>0</v>
      </c>
      <c r="D496" s="402">
        <v>99822988.579999998</v>
      </c>
      <c r="E496" s="402">
        <v>99822988.579999998</v>
      </c>
      <c r="F496" s="402">
        <v>0</v>
      </c>
    </row>
    <row r="497" spans="1:6">
      <c r="A497">
        <v>24502</v>
      </c>
      <c r="B497" t="s">
        <v>509</v>
      </c>
      <c r="C497" s="402">
        <v>79842631.159999996</v>
      </c>
      <c r="D497" s="402">
        <v>94295221856.5</v>
      </c>
      <c r="E497" s="402">
        <v>77718815557.160004</v>
      </c>
      <c r="F497" s="402">
        <v>16656248930.5</v>
      </c>
    </row>
    <row r="498" spans="1:6">
      <c r="A498">
        <v>24504</v>
      </c>
      <c r="B498" t="s">
        <v>510</v>
      </c>
      <c r="C498" s="402">
        <v>731249.54</v>
      </c>
      <c r="D498" s="402">
        <v>22227654929.490002</v>
      </c>
      <c r="E498" s="402">
        <v>21776190804.73</v>
      </c>
      <c r="F498" s="402">
        <v>452195374.30000001</v>
      </c>
    </row>
    <row r="499" spans="1:6">
      <c r="A499">
        <v>25500</v>
      </c>
      <c r="B499" t="s">
        <v>511</v>
      </c>
      <c r="C499" s="402">
        <v>21338584</v>
      </c>
      <c r="D499" s="402">
        <v>7879435</v>
      </c>
      <c r="E499" s="402">
        <v>370000</v>
      </c>
      <c r="F499" s="402">
        <v>28848019</v>
      </c>
    </row>
    <row r="500" spans="1:6">
      <c r="A500">
        <v>26500</v>
      </c>
      <c r="B500" t="s">
        <v>512</v>
      </c>
      <c r="C500">
        <v>0</v>
      </c>
      <c r="D500" s="402">
        <v>13980</v>
      </c>
      <c r="E500" s="402">
        <v>13980</v>
      </c>
      <c r="F500" s="402">
        <v>0</v>
      </c>
    </row>
    <row r="501" spans="1:6">
      <c r="A501">
        <v>27101</v>
      </c>
      <c r="B501" t="s">
        <v>513</v>
      </c>
      <c r="C501" s="402">
        <v>3980968</v>
      </c>
      <c r="D501" s="402">
        <v>2577376</v>
      </c>
      <c r="E501" s="402">
        <v>2915341</v>
      </c>
      <c r="F501" s="402">
        <v>3643003</v>
      </c>
    </row>
    <row r="502" spans="1:6">
      <c r="A502">
        <v>27102</v>
      </c>
      <c r="B502" t="s">
        <v>514</v>
      </c>
      <c r="C502" s="402">
        <v>1879965</v>
      </c>
      <c r="D502" s="402">
        <v>1913430</v>
      </c>
      <c r="E502" s="402">
        <v>1871665</v>
      </c>
      <c r="F502" s="402">
        <v>1921730</v>
      </c>
    </row>
    <row r="503" spans="1:6">
      <c r="A503">
        <v>27103</v>
      </c>
      <c r="B503" t="s">
        <v>515</v>
      </c>
      <c r="C503" s="402">
        <v>25696388.850000001</v>
      </c>
      <c r="D503" s="402">
        <v>2870513.5</v>
      </c>
      <c r="E503" s="402">
        <v>7385580.5</v>
      </c>
      <c r="F503" s="402">
        <v>21181321.850000001</v>
      </c>
    </row>
    <row r="504" spans="1:6">
      <c r="A504">
        <v>27201</v>
      </c>
      <c r="B504" t="s">
        <v>516</v>
      </c>
      <c r="C504" s="402">
        <v>56261.06</v>
      </c>
      <c r="D504" s="402">
        <v>190131</v>
      </c>
      <c r="E504" s="402">
        <v>200760</v>
      </c>
      <c r="F504" s="402">
        <v>45632.06</v>
      </c>
    </row>
    <row r="505" spans="1:6">
      <c r="A505">
        <v>27203</v>
      </c>
      <c r="B505" t="s">
        <v>517</v>
      </c>
      <c r="C505" s="402">
        <v>10570877</v>
      </c>
      <c r="D505" s="402">
        <v>48234500</v>
      </c>
      <c r="E505" s="402">
        <v>21297750</v>
      </c>
      <c r="F505" s="402">
        <v>37507627</v>
      </c>
    </row>
    <row r="506" spans="1:6">
      <c r="A506">
        <v>27204</v>
      </c>
      <c r="B506" t="s">
        <v>518</v>
      </c>
      <c r="C506" s="402">
        <v>249500</v>
      </c>
      <c r="D506" s="402">
        <v>47126950</v>
      </c>
      <c r="E506" s="402">
        <v>38135917</v>
      </c>
      <c r="F506" s="402">
        <v>9240533</v>
      </c>
    </row>
    <row r="507" spans="1:6">
      <c r="A507">
        <v>27208</v>
      </c>
      <c r="B507" t="s">
        <v>519</v>
      </c>
      <c r="C507" s="402">
        <v>1916260.78</v>
      </c>
      <c r="D507" s="402">
        <v>5574402.4900000002</v>
      </c>
      <c r="E507" s="402">
        <v>3090013.11</v>
      </c>
      <c r="F507" s="402">
        <v>4400650.16</v>
      </c>
    </row>
    <row r="508" spans="1:6">
      <c r="A508">
        <v>27405</v>
      </c>
      <c r="B508" t="s">
        <v>520</v>
      </c>
      <c r="C508" s="402">
        <v>64608422.920000002</v>
      </c>
      <c r="D508" s="402">
        <v>17423203.859999999</v>
      </c>
      <c r="E508" s="402">
        <v>3262936.21</v>
      </c>
      <c r="F508" s="402">
        <v>78768690.569999993</v>
      </c>
    </row>
    <row r="509" spans="1:6">
      <c r="A509">
        <v>27406</v>
      </c>
      <c r="B509" t="s">
        <v>521</v>
      </c>
      <c r="C509" s="402">
        <v>13352.36</v>
      </c>
      <c r="D509" s="402">
        <v>370</v>
      </c>
      <c r="E509">
        <v>0</v>
      </c>
      <c r="F509" s="402">
        <v>13722.36</v>
      </c>
    </row>
    <row r="510" spans="1:6">
      <c r="A510">
        <v>27407</v>
      </c>
      <c r="B510" t="s">
        <v>522</v>
      </c>
      <c r="C510" s="402">
        <v>96100291</v>
      </c>
      <c r="D510" s="402">
        <v>0</v>
      </c>
      <c r="E510" s="402">
        <v>0</v>
      </c>
      <c r="F510" s="402">
        <v>96100291</v>
      </c>
    </row>
    <row r="511" spans="1:6">
      <c r="A511">
        <v>27408</v>
      </c>
      <c r="B511" t="s">
        <v>523</v>
      </c>
      <c r="C511" s="402">
        <v>1949315.86</v>
      </c>
      <c r="D511" s="402">
        <v>9688.43</v>
      </c>
      <c r="E511" s="402">
        <v>0</v>
      </c>
      <c r="F511" s="402">
        <v>1959004.29</v>
      </c>
    </row>
    <row r="512" spans="1:6">
      <c r="A512">
        <v>27410</v>
      </c>
      <c r="B512" t="s">
        <v>524</v>
      </c>
      <c r="C512" s="402">
        <v>817863589</v>
      </c>
      <c r="D512" s="402">
        <v>14302170</v>
      </c>
      <c r="E512">
        <v>0</v>
      </c>
      <c r="F512" s="402">
        <v>832165759</v>
      </c>
    </row>
    <row r="513" spans="1:6">
      <c r="A513">
        <v>27413</v>
      </c>
      <c r="B513" t="s">
        <v>525</v>
      </c>
      <c r="C513" s="402">
        <v>41267167</v>
      </c>
      <c r="D513" s="402">
        <v>0</v>
      </c>
      <c r="E513" s="402">
        <v>0</v>
      </c>
      <c r="F513" s="402">
        <v>41267167</v>
      </c>
    </row>
    <row r="514" spans="1:6">
      <c r="A514">
        <v>27421</v>
      </c>
      <c r="B514" t="s">
        <v>526</v>
      </c>
      <c r="C514" s="402">
        <v>6294673</v>
      </c>
      <c r="D514" s="402">
        <v>0</v>
      </c>
      <c r="E514" s="402">
        <v>0</v>
      </c>
      <c r="F514" s="402">
        <v>6294673</v>
      </c>
    </row>
    <row r="515" spans="1:6">
      <c r="A515">
        <v>27425</v>
      </c>
      <c r="B515" t="s">
        <v>527</v>
      </c>
      <c r="C515" s="402">
        <v>22117333.93</v>
      </c>
      <c r="D515" s="402">
        <v>1300791.98</v>
      </c>
      <c r="E515" s="402">
        <v>101005</v>
      </c>
      <c r="F515" s="402">
        <v>23317120.91</v>
      </c>
    </row>
    <row r="516" spans="1:6">
      <c r="A516">
        <v>27437</v>
      </c>
      <c r="B516" t="s">
        <v>528</v>
      </c>
      <c r="C516" s="402">
        <v>34405934</v>
      </c>
      <c r="D516" s="402">
        <v>0</v>
      </c>
      <c r="E516" s="402">
        <v>0</v>
      </c>
      <c r="F516" s="402">
        <v>34405934</v>
      </c>
    </row>
    <row r="517" spans="1:6">
      <c r="A517">
        <v>27438</v>
      </c>
      <c r="B517" t="s">
        <v>529</v>
      </c>
      <c r="C517" s="402">
        <v>30693423</v>
      </c>
      <c r="D517" s="402">
        <v>0</v>
      </c>
      <c r="E517" s="402">
        <v>0</v>
      </c>
      <c r="F517" s="402">
        <v>30693423</v>
      </c>
    </row>
    <row r="518" spans="1:6">
      <c r="A518">
        <v>27439</v>
      </c>
      <c r="B518" t="s">
        <v>530</v>
      </c>
      <c r="C518" s="402">
        <v>36521016</v>
      </c>
      <c r="D518" s="402">
        <v>0</v>
      </c>
      <c r="E518">
        <v>0</v>
      </c>
      <c r="F518" s="402">
        <v>36521016</v>
      </c>
    </row>
    <row r="519" spans="1:6">
      <c r="A519">
        <v>27440</v>
      </c>
      <c r="B519" t="s">
        <v>531</v>
      </c>
      <c r="C519" s="402">
        <v>40839356</v>
      </c>
      <c r="D519" s="402">
        <v>0</v>
      </c>
      <c r="E519" s="402">
        <v>0</v>
      </c>
      <c r="F519" s="402">
        <v>40839356</v>
      </c>
    </row>
    <row r="520" spans="1:6">
      <c r="A520">
        <v>27441</v>
      </c>
      <c r="B520" t="s">
        <v>532</v>
      </c>
      <c r="C520" s="402">
        <v>63522000</v>
      </c>
      <c r="D520" s="402">
        <v>0</v>
      </c>
      <c r="E520" s="402">
        <v>0</v>
      </c>
      <c r="F520" s="402">
        <v>63522000</v>
      </c>
    </row>
    <row r="521" spans="1:6">
      <c r="A521">
        <v>27443</v>
      </c>
      <c r="B521" t="s">
        <v>533</v>
      </c>
      <c r="C521" s="402">
        <v>180775177</v>
      </c>
      <c r="D521" s="402">
        <v>0</v>
      </c>
      <c r="E521" s="402">
        <v>0</v>
      </c>
      <c r="F521" s="402">
        <v>180775177</v>
      </c>
    </row>
    <row r="522" spans="1:6">
      <c r="A522">
        <v>27444</v>
      </c>
      <c r="B522" t="s">
        <v>534</v>
      </c>
      <c r="C522" s="402">
        <v>147218124</v>
      </c>
      <c r="D522" s="402">
        <v>0</v>
      </c>
      <c r="E522" s="402">
        <v>0</v>
      </c>
      <c r="F522" s="402">
        <v>147218124</v>
      </c>
    </row>
    <row r="523" spans="1:6">
      <c r="A523">
        <v>27853</v>
      </c>
      <c r="B523" t="s">
        <v>535</v>
      </c>
      <c r="C523" s="402">
        <v>318219</v>
      </c>
      <c r="D523" s="402">
        <v>0</v>
      </c>
      <c r="E523" s="402">
        <v>0</v>
      </c>
      <c r="F523" s="402">
        <v>318219</v>
      </c>
    </row>
    <row r="524" spans="1:6">
      <c r="A524">
        <v>27863</v>
      </c>
      <c r="B524" t="s">
        <v>536</v>
      </c>
      <c r="C524">
        <v>0</v>
      </c>
      <c r="D524" s="402">
        <v>100000</v>
      </c>
      <c r="E524">
        <v>0</v>
      </c>
      <c r="F524" s="402">
        <v>100000</v>
      </c>
    </row>
    <row r="525" spans="1:6">
      <c r="A525">
        <v>27890</v>
      </c>
      <c r="B525" t="s">
        <v>537</v>
      </c>
      <c r="C525" s="402">
        <v>1606495.46</v>
      </c>
      <c r="D525" s="402">
        <v>0</v>
      </c>
      <c r="E525" s="402">
        <v>0</v>
      </c>
      <c r="F525" s="402">
        <v>1606495.46</v>
      </c>
    </row>
    <row r="526" spans="1:6">
      <c r="A526">
        <v>28260</v>
      </c>
      <c r="B526" t="s">
        <v>538</v>
      </c>
      <c r="C526" s="402">
        <v>5759829.2999999998</v>
      </c>
      <c r="D526" s="402">
        <v>4720275.42</v>
      </c>
      <c r="E526" s="402">
        <v>4648098.17</v>
      </c>
      <c r="F526" s="402">
        <v>5832006.5499999998</v>
      </c>
    </row>
    <row r="527" spans="1:6">
      <c r="A527">
        <v>28361</v>
      </c>
      <c r="B527" t="s">
        <v>539</v>
      </c>
      <c r="C527" s="402">
        <v>1581794.81</v>
      </c>
      <c r="D527" s="402">
        <v>196305.93</v>
      </c>
      <c r="E527" s="402">
        <v>668884.69999999995</v>
      </c>
      <c r="F527" s="402">
        <v>1109216.04</v>
      </c>
    </row>
    <row r="528" spans="1:6">
      <c r="A528">
        <v>28362</v>
      </c>
      <c r="B528" t="s">
        <v>540</v>
      </c>
      <c r="C528" s="402">
        <v>3250949.45</v>
      </c>
      <c r="D528" s="402">
        <v>1384237.73</v>
      </c>
      <c r="E528" s="402">
        <v>1819126.42</v>
      </c>
      <c r="F528" s="402">
        <v>2816060.76</v>
      </c>
    </row>
    <row r="529" spans="1:6">
      <c r="A529">
        <v>28363</v>
      </c>
      <c r="B529" t="s">
        <v>541</v>
      </c>
      <c r="C529" s="402">
        <v>37101909.909999996</v>
      </c>
      <c r="D529" s="402">
        <v>2144580.36</v>
      </c>
      <c r="E529" s="402">
        <v>6838309.0800000001</v>
      </c>
      <c r="F529" s="402">
        <v>32408181.190000001</v>
      </c>
    </row>
    <row r="530" spans="1:6">
      <c r="A530">
        <v>28401</v>
      </c>
      <c r="B530" t="s">
        <v>542</v>
      </c>
      <c r="C530" s="402">
        <v>540845.16</v>
      </c>
      <c r="D530" s="402">
        <v>380204.46</v>
      </c>
      <c r="E530" s="402">
        <v>540817.74</v>
      </c>
      <c r="F530" s="402">
        <v>380231.88</v>
      </c>
    </row>
    <row r="531" spans="1:6">
      <c r="A531">
        <v>28402</v>
      </c>
      <c r="B531" t="s">
        <v>543</v>
      </c>
      <c r="C531" s="402">
        <v>317766</v>
      </c>
      <c r="D531" s="402">
        <v>0</v>
      </c>
      <c r="E531" s="402">
        <v>30000</v>
      </c>
      <c r="F531" s="402">
        <v>287766</v>
      </c>
    </row>
    <row r="532" spans="1:6">
      <c r="A532">
        <v>28403</v>
      </c>
      <c r="B532" t="s">
        <v>544</v>
      </c>
      <c r="C532" s="402">
        <v>39558</v>
      </c>
      <c r="D532" s="402">
        <v>0</v>
      </c>
      <c r="E532" s="402">
        <v>0</v>
      </c>
      <c r="F532" s="402">
        <v>39558</v>
      </c>
    </row>
    <row r="533" spans="1:6">
      <c r="A533">
        <v>28563</v>
      </c>
      <c r="B533" t="s">
        <v>545</v>
      </c>
      <c r="C533">
        <v>0</v>
      </c>
      <c r="D533" s="402">
        <v>200</v>
      </c>
      <c r="E533" s="402">
        <v>200</v>
      </c>
      <c r="F533" s="402">
        <v>0</v>
      </c>
    </row>
    <row r="534" spans="1:6">
      <c r="A534">
        <v>28629</v>
      </c>
      <c r="B534" t="s">
        <v>546</v>
      </c>
      <c r="C534" s="402">
        <v>760535315.44000006</v>
      </c>
      <c r="D534" s="402">
        <v>666932099.58000004</v>
      </c>
      <c r="E534" s="402">
        <v>59856458.799999997</v>
      </c>
      <c r="F534" s="402">
        <v>1367610956.22</v>
      </c>
    </row>
    <row r="535" spans="1:6">
      <c r="A535">
        <v>28634</v>
      </c>
      <c r="B535" t="s">
        <v>547</v>
      </c>
      <c r="C535" s="402">
        <v>73956606</v>
      </c>
      <c r="D535" s="402">
        <v>1784672</v>
      </c>
      <c r="E535" s="402">
        <v>3468330</v>
      </c>
      <c r="F535" s="402">
        <v>72272948</v>
      </c>
    </row>
    <row r="536" spans="1:6">
      <c r="A536">
        <v>28635</v>
      </c>
      <c r="B536" t="s">
        <v>548</v>
      </c>
      <c r="C536" s="402">
        <v>66727780</v>
      </c>
      <c r="D536" s="402">
        <v>1529668</v>
      </c>
      <c r="E536" s="402">
        <v>2972781</v>
      </c>
      <c r="F536" s="402">
        <v>65284667</v>
      </c>
    </row>
    <row r="537" spans="1:6">
      <c r="A537">
        <v>28636</v>
      </c>
      <c r="B537" t="s">
        <v>549</v>
      </c>
      <c r="C537">
        <v>0</v>
      </c>
      <c r="D537" s="402">
        <v>0</v>
      </c>
      <c r="E537" s="402">
        <v>0</v>
      </c>
      <c r="F537" s="402">
        <v>0</v>
      </c>
    </row>
    <row r="538" spans="1:6">
      <c r="A538">
        <v>28638</v>
      </c>
      <c r="B538" t="s">
        <v>550</v>
      </c>
      <c r="C538" s="402">
        <v>3947103.5</v>
      </c>
      <c r="D538" s="402">
        <v>0</v>
      </c>
      <c r="E538">
        <v>0</v>
      </c>
      <c r="F538" s="402">
        <v>3947103.5</v>
      </c>
    </row>
    <row r="539" spans="1:6">
      <c r="A539">
        <v>28639</v>
      </c>
      <c r="B539" t="s">
        <v>551</v>
      </c>
      <c r="C539" s="402">
        <v>3993312.52</v>
      </c>
      <c r="D539" s="402">
        <v>0</v>
      </c>
      <c r="E539">
        <v>0</v>
      </c>
      <c r="F539" s="402">
        <v>3993312.52</v>
      </c>
    </row>
    <row r="540" spans="1:6">
      <c r="A540">
        <v>28801</v>
      </c>
      <c r="B540" t="s">
        <v>552</v>
      </c>
      <c r="C540" s="402">
        <v>1097648726</v>
      </c>
      <c r="D540" s="402">
        <v>0</v>
      </c>
      <c r="E540" s="402">
        <v>1097648726</v>
      </c>
      <c r="F540" s="402">
        <v>0</v>
      </c>
    </row>
    <row r="541" spans="1:6">
      <c r="A541">
        <v>28810</v>
      </c>
      <c r="B541" t="s">
        <v>553</v>
      </c>
      <c r="C541" s="402">
        <v>931421.36</v>
      </c>
      <c r="D541" s="402">
        <v>0</v>
      </c>
      <c r="E541">
        <v>0</v>
      </c>
      <c r="F541" s="402">
        <v>931421.36</v>
      </c>
    </row>
    <row r="542" spans="1:6">
      <c r="A542">
        <v>28815</v>
      </c>
      <c r="B542" t="s">
        <v>554</v>
      </c>
      <c r="C542" s="402">
        <v>5571098.1100000003</v>
      </c>
      <c r="D542" s="402">
        <v>166</v>
      </c>
      <c r="E542">
        <v>166</v>
      </c>
      <c r="F542" s="402">
        <v>5571098.1100000003</v>
      </c>
    </row>
    <row r="543" spans="1:6">
      <c r="A543">
        <v>28820</v>
      </c>
      <c r="B543" t="s">
        <v>555</v>
      </c>
      <c r="C543" s="402">
        <v>29874720.25</v>
      </c>
      <c r="D543" s="402">
        <v>7209694</v>
      </c>
      <c r="E543" s="402">
        <v>29763807.25</v>
      </c>
      <c r="F543" s="402">
        <v>7320607</v>
      </c>
    </row>
    <row r="544" spans="1:6">
      <c r="A544">
        <v>28881</v>
      </c>
      <c r="B544" t="s">
        <v>556</v>
      </c>
      <c r="C544" s="402">
        <v>5427420</v>
      </c>
      <c r="D544" s="402">
        <v>992568</v>
      </c>
      <c r="E544" s="402">
        <v>3375814.65</v>
      </c>
      <c r="F544" s="402">
        <v>3044173.35</v>
      </c>
    </row>
    <row r="545" spans="1:6">
      <c r="A545">
        <v>28882</v>
      </c>
      <c r="B545" t="s">
        <v>557</v>
      </c>
      <c r="C545" s="402">
        <v>4652107</v>
      </c>
      <c r="D545" s="402">
        <v>850784</v>
      </c>
      <c r="E545" s="402">
        <v>2967418</v>
      </c>
      <c r="F545" s="402">
        <v>2535473</v>
      </c>
    </row>
    <row r="546" spans="1:6">
      <c r="A546">
        <v>28913</v>
      </c>
      <c r="B546" t="s">
        <v>558</v>
      </c>
      <c r="C546" s="402">
        <v>20000</v>
      </c>
      <c r="D546" s="402">
        <v>0</v>
      </c>
      <c r="E546">
        <v>0</v>
      </c>
      <c r="F546" s="402">
        <v>20000</v>
      </c>
    </row>
    <row r="547" spans="1:6">
      <c r="A547">
        <v>28914</v>
      </c>
      <c r="B547" t="s">
        <v>559</v>
      </c>
      <c r="C547" s="402">
        <v>348732</v>
      </c>
      <c r="D547" s="402">
        <v>0</v>
      </c>
      <c r="E547">
        <v>0</v>
      </c>
      <c r="F547" s="402">
        <v>348732</v>
      </c>
    </row>
    <row r="548" spans="1:6">
      <c r="A548">
        <v>28915</v>
      </c>
      <c r="B548" t="s">
        <v>560</v>
      </c>
      <c r="C548" s="402">
        <v>957174</v>
      </c>
      <c r="D548" s="402">
        <v>4293690</v>
      </c>
      <c r="E548" s="402">
        <v>25058</v>
      </c>
      <c r="F548" s="402">
        <v>5225806</v>
      </c>
    </row>
    <row r="549" spans="1:6">
      <c r="A549">
        <v>28918</v>
      </c>
      <c r="B549" t="s">
        <v>561</v>
      </c>
      <c r="C549" s="402">
        <v>6271294</v>
      </c>
      <c r="D549" s="402">
        <v>886678</v>
      </c>
      <c r="E549" s="402">
        <v>0</v>
      </c>
      <c r="F549" s="402">
        <v>7157972</v>
      </c>
    </row>
    <row r="550" spans="1:6">
      <c r="A550">
        <v>28919</v>
      </c>
      <c r="B550" t="s">
        <v>562</v>
      </c>
      <c r="C550" s="402">
        <v>4154679.52</v>
      </c>
      <c r="D550" s="402">
        <v>1607314.48</v>
      </c>
      <c r="E550" s="402">
        <v>526215</v>
      </c>
      <c r="F550" s="402">
        <v>5235779</v>
      </c>
    </row>
    <row r="551" spans="1:6">
      <c r="A551">
        <v>28929</v>
      </c>
      <c r="B551" t="s">
        <v>563</v>
      </c>
      <c r="C551" s="402">
        <v>300000</v>
      </c>
      <c r="D551" s="402">
        <v>0</v>
      </c>
      <c r="E551">
        <v>0</v>
      </c>
      <c r="F551" s="402">
        <v>300000</v>
      </c>
    </row>
    <row r="552" spans="1:6">
      <c r="A552">
        <v>28930</v>
      </c>
      <c r="B552" t="s">
        <v>564</v>
      </c>
      <c r="C552" s="402">
        <v>860012</v>
      </c>
      <c r="D552" s="402">
        <v>95400</v>
      </c>
      <c r="E552" s="402">
        <v>283908</v>
      </c>
      <c r="F552" s="402">
        <v>671504</v>
      </c>
    </row>
    <row r="553" spans="1:6">
      <c r="A553">
        <v>29990</v>
      </c>
      <c r="B553" t="s">
        <v>565</v>
      </c>
      <c r="C553">
        <v>0</v>
      </c>
      <c r="D553" s="402">
        <v>96557</v>
      </c>
      <c r="E553" s="402">
        <v>1990</v>
      </c>
      <c r="F553" s="402">
        <v>94567</v>
      </c>
    </row>
    <row r="554" spans="1:6">
      <c r="A554">
        <v>29991</v>
      </c>
      <c r="B554" t="s">
        <v>566</v>
      </c>
      <c r="C554">
        <v>0</v>
      </c>
      <c r="D554" s="402">
        <v>16446900.41</v>
      </c>
      <c r="E554" s="402">
        <v>27396320.68</v>
      </c>
      <c r="F554" s="402">
        <v>-10949420.27</v>
      </c>
    </row>
    <row r="555" spans="1:6">
      <c r="A555">
        <v>29992</v>
      </c>
      <c r="B555" t="s">
        <v>567</v>
      </c>
      <c r="C555">
        <v>0</v>
      </c>
      <c r="D555" s="402">
        <v>1888010</v>
      </c>
      <c r="E555" s="402">
        <v>3968362.39</v>
      </c>
      <c r="F555" s="402">
        <v>-2080352.39</v>
      </c>
    </row>
    <row r="556" spans="1:6">
      <c r="A556">
        <v>29993</v>
      </c>
      <c r="B556" t="s">
        <v>568</v>
      </c>
      <c r="C556">
        <v>0</v>
      </c>
      <c r="D556" s="402">
        <v>664880.92000000004</v>
      </c>
      <c r="E556" s="402">
        <v>2239476.5099999998</v>
      </c>
      <c r="F556" s="402">
        <v>-1574595.59</v>
      </c>
    </row>
    <row r="557" spans="1:6">
      <c r="A557">
        <v>29995</v>
      </c>
      <c r="B557" t="s">
        <v>569</v>
      </c>
      <c r="C557">
        <v>0</v>
      </c>
      <c r="D557" s="402">
        <v>738852</v>
      </c>
      <c r="E557" s="402">
        <v>26022561.489999998</v>
      </c>
      <c r="F557" s="402">
        <v>-25283709.489999998</v>
      </c>
    </row>
    <row r="558" spans="1:6">
      <c r="A558">
        <v>29996</v>
      </c>
      <c r="B558" t="s">
        <v>570</v>
      </c>
      <c r="C558" s="402">
        <v>13223635914.370001</v>
      </c>
      <c r="D558" s="402">
        <v>133458091402.07001</v>
      </c>
      <c r="E558" s="402">
        <v>120448468862.87</v>
      </c>
      <c r="F558" s="402">
        <v>26233258453.57</v>
      </c>
    </row>
    <row r="559" spans="1:6">
      <c r="A559">
        <v>29998</v>
      </c>
      <c r="B559" t="s">
        <v>571</v>
      </c>
      <c r="C559" s="402">
        <v>-632444</v>
      </c>
      <c r="D559" s="402">
        <v>632444</v>
      </c>
      <c r="E559">
        <v>0</v>
      </c>
      <c r="F559" s="402">
        <v>0</v>
      </c>
    </row>
    <row r="560" spans="1:6">
      <c r="A560">
        <v>31200</v>
      </c>
      <c r="B560" t="s">
        <v>572</v>
      </c>
      <c r="C560" s="402">
        <v>-43016437.210000001</v>
      </c>
      <c r="D560" s="402">
        <v>0</v>
      </c>
      <c r="E560" s="402">
        <v>0</v>
      </c>
      <c r="F560" s="402">
        <v>-43016437.210000001</v>
      </c>
    </row>
    <row r="561" spans="1:6">
      <c r="A561">
        <v>31300</v>
      </c>
      <c r="B561" t="s">
        <v>573</v>
      </c>
      <c r="C561" s="402">
        <v>-1928764.81</v>
      </c>
      <c r="D561" s="402">
        <v>0</v>
      </c>
      <c r="E561" s="402">
        <v>0</v>
      </c>
      <c r="F561" s="402">
        <v>-1928764.81</v>
      </c>
    </row>
    <row r="562" spans="1:6">
      <c r="A562">
        <v>31400</v>
      </c>
      <c r="B562" t="s">
        <v>574</v>
      </c>
      <c r="C562" s="402">
        <v>-28066949.789999999</v>
      </c>
      <c r="D562" s="402">
        <v>0</v>
      </c>
      <c r="E562" s="402">
        <v>0</v>
      </c>
      <c r="F562" s="402">
        <v>-28066949.789999999</v>
      </c>
    </row>
    <row r="563" spans="1:6">
      <c r="A563">
        <v>31500</v>
      </c>
      <c r="B563" t="s">
        <v>575</v>
      </c>
      <c r="C563" s="402">
        <v>-2517545450.52</v>
      </c>
      <c r="D563" s="402">
        <v>0</v>
      </c>
      <c r="E563">
        <v>0</v>
      </c>
      <c r="F563" s="402">
        <v>-2517545450.52</v>
      </c>
    </row>
    <row r="564" spans="1:6">
      <c r="A564">
        <v>31600</v>
      </c>
      <c r="B564" t="s">
        <v>576</v>
      </c>
      <c r="C564" s="402">
        <v>-8038312073.1899996</v>
      </c>
      <c r="D564" s="402">
        <v>0</v>
      </c>
      <c r="E564">
        <v>0</v>
      </c>
      <c r="F564" s="402">
        <v>-8038312073.1899996</v>
      </c>
    </row>
    <row r="565" spans="1:6">
      <c r="A565">
        <v>31700</v>
      </c>
      <c r="B565" t="s">
        <v>577</v>
      </c>
      <c r="C565" s="402">
        <v>-12488338.26</v>
      </c>
      <c r="D565" s="402">
        <v>0</v>
      </c>
      <c r="E565" s="402">
        <v>0</v>
      </c>
      <c r="F565" s="402">
        <v>-12488338.26</v>
      </c>
    </row>
    <row r="566" spans="1:6">
      <c r="A566">
        <v>31800</v>
      </c>
      <c r="B566" t="s">
        <v>578</v>
      </c>
      <c r="C566" s="402">
        <v>-29261247.48</v>
      </c>
      <c r="D566" s="402">
        <v>0</v>
      </c>
      <c r="E566">
        <v>0</v>
      </c>
      <c r="F566" s="402">
        <v>-29261247.48</v>
      </c>
    </row>
    <row r="567" spans="1:6">
      <c r="A567">
        <v>31900</v>
      </c>
      <c r="B567" t="s">
        <v>579</v>
      </c>
      <c r="C567" s="402">
        <v>-200199191.72</v>
      </c>
      <c r="D567" s="402">
        <v>0</v>
      </c>
      <c r="E567" s="402">
        <v>0</v>
      </c>
      <c r="F567" s="402">
        <v>-200199191.72</v>
      </c>
    </row>
    <row r="568" spans="1:6">
      <c r="A568">
        <v>32200</v>
      </c>
      <c r="B568" t="s">
        <v>580</v>
      </c>
      <c r="C568" s="402">
        <v>43016437.210000001</v>
      </c>
      <c r="D568" s="402">
        <v>0</v>
      </c>
      <c r="E568" s="402">
        <v>0</v>
      </c>
      <c r="F568" s="402">
        <v>43016437.210000001</v>
      </c>
    </row>
    <row r="569" spans="1:6">
      <c r="A569">
        <v>32300</v>
      </c>
      <c r="B569" t="s">
        <v>581</v>
      </c>
      <c r="C569" s="402">
        <v>1928764.81</v>
      </c>
      <c r="D569" s="402">
        <v>0</v>
      </c>
      <c r="E569" s="402">
        <v>0</v>
      </c>
      <c r="F569" s="402">
        <v>1928764.81</v>
      </c>
    </row>
    <row r="570" spans="1:6">
      <c r="A570">
        <v>32400</v>
      </c>
      <c r="B570" t="s">
        <v>582</v>
      </c>
      <c r="C570" s="402">
        <v>28066949.789999999</v>
      </c>
      <c r="D570" s="402">
        <v>0</v>
      </c>
      <c r="E570" s="402">
        <v>0</v>
      </c>
      <c r="F570" s="402">
        <v>28066949.789999999</v>
      </c>
    </row>
    <row r="571" spans="1:6">
      <c r="A571">
        <v>32500</v>
      </c>
      <c r="B571" t="s">
        <v>583</v>
      </c>
      <c r="C571" s="402">
        <v>2517545450.52</v>
      </c>
      <c r="D571" s="402">
        <v>0</v>
      </c>
      <c r="E571" s="402">
        <v>0</v>
      </c>
      <c r="F571" s="402">
        <v>2517545450.52</v>
      </c>
    </row>
    <row r="572" spans="1:6">
      <c r="A572">
        <v>32600</v>
      </c>
      <c r="B572" t="s">
        <v>584</v>
      </c>
      <c r="C572" s="402">
        <v>8038312073.1899996</v>
      </c>
      <c r="D572" s="402">
        <v>0</v>
      </c>
      <c r="E572">
        <v>0</v>
      </c>
      <c r="F572" s="402">
        <v>8038312073.1899996</v>
      </c>
    </row>
    <row r="573" spans="1:6">
      <c r="A573">
        <v>32700</v>
      </c>
      <c r="B573" t="s">
        <v>585</v>
      </c>
      <c r="C573" s="402">
        <v>12488338.26</v>
      </c>
      <c r="D573" s="402">
        <v>0</v>
      </c>
      <c r="E573">
        <v>0</v>
      </c>
      <c r="F573" s="402">
        <v>12488338.26</v>
      </c>
    </row>
    <row r="574" spans="1:6">
      <c r="A574">
        <v>32800</v>
      </c>
      <c r="B574" t="s">
        <v>586</v>
      </c>
      <c r="C574" s="402">
        <v>29261247.48</v>
      </c>
      <c r="D574" s="402">
        <v>0</v>
      </c>
      <c r="E574">
        <v>0</v>
      </c>
      <c r="F574" s="402">
        <v>29261247.48</v>
      </c>
    </row>
    <row r="575" spans="1:6">
      <c r="A575">
        <v>32900</v>
      </c>
      <c r="B575" t="s">
        <v>587</v>
      </c>
      <c r="C575" s="402">
        <v>200199191.72</v>
      </c>
      <c r="D575" s="402">
        <v>0</v>
      </c>
      <c r="E575" s="402">
        <v>0</v>
      </c>
      <c r="F575" s="402">
        <v>200199191.72</v>
      </c>
    </row>
    <row r="576" spans="1:6">
      <c r="A576">
        <v>39114</v>
      </c>
      <c r="B576" t="s">
        <v>1233</v>
      </c>
      <c r="C576">
        <v>0</v>
      </c>
      <c r="D576" s="402">
        <v>32411.21</v>
      </c>
      <c r="E576">
        <v>0</v>
      </c>
      <c r="F576" s="402">
        <v>32411.21</v>
      </c>
    </row>
    <row r="577" spans="1:6">
      <c r="A577">
        <v>39400</v>
      </c>
      <c r="B577" t="s">
        <v>588</v>
      </c>
      <c r="C577" s="402">
        <v>83390765.780000001</v>
      </c>
      <c r="D577" s="402">
        <v>3489009762.4400001</v>
      </c>
      <c r="E577" s="402">
        <v>4007166834.9099998</v>
      </c>
      <c r="F577" s="402">
        <v>-434766306.69</v>
      </c>
    </row>
    <row r="578" spans="1:6">
      <c r="A578">
        <v>39401</v>
      </c>
      <c r="B578" t="s">
        <v>589</v>
      </c>
      <c r="C578" s="402">
        <v>-12240751744.690001</v>
      </c>
      <c r="D578" s="402">
        <v>16031777042.98</v>
      </c>
      <c r="E578" s="402">
        <v>15156071899.48</v>
      </c>
      <c r="F578" s="402">
        <v>-11365046601.190001</v>
      </c>
    </row>
    <row r="579" spans="1:6">
      <c r="A579">
        <v>39402</v>
      </c>
      <c r="B579" t="s">
        <v>590</v>
      </c>
      <c r="C579" s="402">
        <v>542496595.86000001</v>
      </c>
      <c r="D579" s="402">
        <v>4415410001.0699997</v>
      </c>
      <c r="E579" s="402">
        <v>4043009223.3200002</v>
      </c>
      <c r="F579" s="402">
        <v>914897373.61000001</v>
      </c>
    </row>
    <row r="580" spans="1:6">
      <c r="A580">
        <v>39403</v>
      </c>
      <c r="B580" t="s">
        <v>591</v>
      </c>
      <c r="C580" s="402">
        <v>-25568747484.18</v>
      </c>
      <c r="D580" s="402">
        <v>31317425582.360001</v>
      </c>
      <c r="E580" s="402">
        <v>30474051451.27</v>
      </c>
      <c r="F580" s="402">
        <v>-24725373353.09</v>
      </c>
    </row>
    <row r="581" spans="1:6">
      <c r="A581">
        <v>39404</v>
      </c>
      <c r="B581" t="s">
        <v>592</v>
      </c>
      <c r="C581" s="402">
        <v>3049628637.9299998</v>
      </c>
      <c r="D581" s="402">
        <v>2009825030.05</v>
      </c>
      <c r="E581" s="402">
        <v>1793588193.8399999</v>
      </c>
      <c r="F581" s="402">
        <v>3265865474.1399999</v>
      </c>
    </row>
    <row r="582" spans="1:6">
      <c r="A582">
        <v>39407</v>
      </c>
      <c r="B582" t="s">
        <v>1234</v>
      </c>
      <c r="C582">
        <v>0</v>
      </c>
      <c r="D582" s="402">
        <v>253999</v>
      </c>
      <c r="E582" s="402">
        <v>0</v>
      </c>
      <c r="F582" s="402">
        <v>253999</v>
      </c>
    </row>
    <row r="583" spans="1:6">
      <c r="A583">
        <v>39408</v>
      </c>
      <c r="B583" t="s">
        <v>593</v>
      </c>
      <c r="C583">
        <v>0</v>
      </c>
      <c r="D583" s="402">
        <v>4632157.4400000004</v>
      </c>
      <c r="E583" s="402">
        <v>4622797</v>
      </c>
      <c r="F583" s="402">
        <v>9360.44</v>
      </c>
    </row>
    <row r="584" spans="1:6">
      <c r="A584">
        <v>39410</v>
      </c>
      <c r="B584" t="s">
        <v>594</v>
      </c>
      <c r="C584" s="402">
        <v>89392145.549999997</v>
      </c>
      <c r="D584" s="402">
        <v>4730251217.6000004</v>
      </c>
      <c r="E584" s="402">
        <v>4747737117.1499996</v>
      </c>
      <c r="F584" s="402">
        <v>71906246</v>
      </c>
    </row>
    <row r="585" spans="1:6">
      <c r="A585">
        <v>39411</v>
      </c>
      <c r="B585" t="s">
        <v>595</v>
      </c>
      <c r="C585" s="402">
        <v>-23819800375.150002</v>
      </c>
      <c r="D585" s="402">
        <v>28432833353.43</v>
      </c>
      <c r="E585" s="402">
        <v>30900069300.560001</v>
      </c>
      <c r="F585" s="402">
        <v>-26287036322.279999</v>
      </c>
    </row>
    <row r="586" spans="1:6">
      <c r="A586">
        <v>39412</v>
      </c>
      <c r="B586" t="s">
        <v>596</v>
      </c>
      <c r="C586" s="402">
        <v>11744832.039999999</v>
      </c>
      <c r="D586" s="402">
        <v>2749378745.9299998</v>
      </c>
      <c r="E586" s="402">
        <v>2418706915.48</v>
      </c>
      <c r="F586" s="402">
        <v>342416662.49000001</v>
      </c>
    </row>
    <row r="587" spans="1:6">
      <c r="A587">
        <v>39413</v>
      </c>
      <c r="B587" t="s">
        <v>597</v>
      </c>
      <c r="C587" s="402">
        <v>-18333914856.950001</v>
      </c>
      <c r="D587" s="402">
        <v>19723363439.950001</v>
      </c>
      <c r="E587" s="402">
        <v>19380365396.34</v>
      </c>
      <c r="F587" s="402">
        <v>-17990916813.34</v>
      </c>
    </row>
    <row r="588" spans="1:6">
      <c r="A588">
        <v>39414</v>
      </c>
      <c r="B588" t="s">
        <v>598</v>
      </c>
      <c r="C588" s="402">
        <v>2523544627.0300002</v>
      </c>
      <c r="D588" s="402">
        <v>2903806265.1500001</v>
      </c>
      <c r="E588" s="402">
        <v>2209558886.8400002</v>
      </c>
      <c r="F588" s="402">
        <v>3217792005.3400002</v>
      </c>
    </row>
    <row r="589" spans="1:6">
      <c r="A589">
        <v>39415</v>
      </c>
      <c r="B589" t="s">
        <v>599</v>
      </c>
      <c r="C589" s="402">
        <v>-1054914068.97</v>
      </c>
      <c r="D589" s="402">
        <v>1632422870.01</v>
      </c>
      <c r="E589" s="402">
        <v>1573005907</v>
      </c>
      <c r="F589" s="402">
        <v>-995497105.96000004</v>
      </c>
    </row>
    <row r="590" spans="1:6">
      <c r="A590">
        <v>39421</v>
      </c>
      <c r="B590" t="s">
        <v>1235</v>
      </c>
      <c r="C590">
        <v>0</v>
      </c>
      <c r="D590" s="402">
        <v>0</v>
      </c>
      <c r="E590" s="402">
        <v>244763</v>
      </c>
      <c r="F590" s="402">
        <v>-244763</v>
      </c>
    </row>
    <row r="591" spans="1:6">
      <c r="A591">
        <v>39426</v>
      </c>
      <c r="B591" t="s">
        <v>600</v>
      </c>
      <c r="C591">
        <v>0</v>
      </c>
      <c r="D591" s="402">
        <v>347441</v>
      </c>
      <c r="E591" s="402">
        <v>347441</v>
      </c>
      <c r="F591" s="402">
        <v>0</v>
      </c>
    </row>
    <row r="592" spans="1:6">
      <c r="A592">
        <v>39431</v>
      </c>
      <c r="B592" t="s">
        <v>601</v>
      </c>
      <c r="C592">
        <v>0</v>
      </c>
      <c r="D592" s="402">
        <v>0</v>
      </c>
      <c r="E592" s="402">
        <v>4403.1899999999996</v>
      </c>
      <c r="F592" s="402">
        <v>-4403.1899999999996</v>
      </c>
    </row>
    <row r="593" spans="1:6">
      <c r="A593">
        <v>39432</v>
      </c>
      <c r="B593" t="s">
        <v>1236</v>
      </c>
      <c r="C593">
        <v>0</v>
      </c>
      <c r="D593" s="402">
        <v>0</v>
      </c>
      <c r="E593" s="402">
        <v>9946.7999999999993</v>
      </c>
      <c r="F593" s="402">
        <v>-9946.7999999999993</v>
      </c>
    </row>
    <row r="594" spans="1:6">
      <c r="A594">
        <v>39441</v>
      </c>
      <c r="B594" t="s">
        <v>602</v>
      </c>
      <c r="C594">
        <v>0</v>
      </c>
      <c r="D594" s="402">
        <v>1785</v>
      </c>
      <c r="E594" s="402">
        <v>3785</v>
      </c>
      <c r="F594" s="402">
        <v>-2000</v>
      </c>
    </row>
    <row r="595" spans="1:6">
      <c r="A595">
        <v>39442</v>
      </c>
      <c r="B595" t="s">
        <v>1237</v>
      </c>
      <c r="C595">
        <v>0</v>
      </c>
      <c r="D595">
        <v>0</v>
      </c>
      <c r="E595">
        <v>40</v>
      </c>
      <c r="F595">
        <v>-40</v>
      </c>
    </row>
    <row r="596" spans="1:6">
      <c r="A596">
        <v>39446</v>
      </c>
      <c r="B596" t="s">
        <v>603</v>
      </c>
      <c r="C596">
        <v>0</v>
      </c>
      <c r="D596" s="402">
        <v>276667</v>
      </c>
      <c r="E596" s="402">
        <v>703183</v>
      </c>
      <c r="F596" s="402">
        <v>-426516</v>
      </c>
    </row>
    <row r="597" spans="1:6">
      <c r="A597">
        <v>39448</v>
      </c>
      <c r="B597" t="s">
        <v>1238</v>
      </c>
      <c r="C597">
        <v>0</v>
      </c>
      <c r="D597" s="402">
        <v>0</v>
      </c>
      <c r="E597" s="402">
        <v>244567</v>
      </c>
      <c r="F597" s="402">
        <v>-244567</v>
      </c>
    </row>
    <row r="598" spans="1:6">
      <c r="A598">
        <v>39451</v>
      </c>
      <c r="B598" t="s">
        <v>1239</v>
      </c>
      <c r="C598">
        <v>0</v>
      </c>
      <c r="D598" s="402">
        <v>0</v>
      </c>
      <c r="E598" s="402">
        <v>400</v>
      </c>
      <c r="F598" s="402">
        <v>-400</v>
      </c>
    </row>
    <row r="599" spans="1:6">
      <c r="A599">
        <v>39461</v>
      </c>
      <c r="B599" t="s">
        <v>1240</v>
      </c>
      <c r="C599">
        <v>0</v>
      </c>
      <c r="D599" s="402">
        <v>0</v>
      </c>
      <c r="E599" s="402">
        <v>20015.169999999998</v>
      </c>
      <c r="F599" s="402">
        <v>-20015.169999999998</v>
      </c>
    </row>
    <row r="600" spans="1:6">
      <c r="A600">
        <v>39462</v>
      </c>
      <c r="B600" t="s">
        <v>604</v>
      </c>
      <c r="C600">
        <v>0</v>
      </c>
      <c r="D600" s="402">
        <v>0</v>
      </c>
      <c r="E600" s="402">
        <v>1757.08</v>
      </c>
      <c r="F600" s="402">
        <v>-1757.08</v>
      </c>
    </row>
    <row r="601" spans="1:6">
      <c r="A601">
        <v>39489</v>
      </c>
      <c r="B601" t="s">
        <v>1241</v>
      </c>
      <c r="C601">
        <v>0</v>
      </c>
      <c r="D601" s="402">
        <v>0</v>
      </c>
      <c r="E601" s="402">
        <v>3901.8</v>
      </c>
      <c r="F601" s="402">
        <v>-3901.8</v>
      </c>
    </row>
    <row r="602" spans="1:6">
      <c r="A602">
        <v>39490</v>
      </c>
      <c r="B602" t="s">
        <v>605</v>
      </c>
      <c r="C602" s="402">
        <v>92752951.840000004</v>
      </c>
      <c r="D602" s="402">
        <v>3284454758.1399999</v>
      </c>
      <c r="E602" s="402">
        <v>2888862532.0900002</v>
      </c>
      <c r="F602" s="402">
        <v>488345177.88999999</v>
      </c>
    </row>
    <row r="603" spans="1:6">
      <c r="A603">
        <v>39491</v>
      </c>
      <c r="B603" t="s">
        <v>606</v>
      </c>
      <c r="C603" s="402">
        <v>233976829.44999999</v>
      </c>
      <c r="D603" s="402">
        <v>2910133068.6599998</v>
      </c>
      <c r="E603" s="402">
        <v>2973472340.2600002</v>
      </c>
      <c r="F603" s="402">
        <v>170637557.84999999</v>
      </c>
    </row>
    <row r="604" spans="1:6">
      <c r="A604">
        <v>39492</v>
      </c>
      <c r="B604" t="s">
        <v>607</v>
      </c>
      <c r="C604" s="402">
        <v>1646957386.9400001</v>
      </c>
      <c r="D604" s="402">
        <v>2559543855.75</v>
      </c>
      <c r="E604" s="402">
        <v>2610633343.4499998</v>
      </c>
      <c r="F604" s="402">
        <v>1595867899.24</v>
      </c>
    </row>
    <row r="605" spans="1:6">
      <c r="A605">
        <v>39493</v>
      </c>
      <c r="B605" t="s">
        <v>608</v>
      </c>
      <c r="C605" s="402">
        <v>-2550511762.3099999</v>
      </c>
      <c r="D605" s="402">
        <v>6915127984.2600002</v>
      </c>
      <c r="E605" s="402">
        <v>6419295342.5500002</v>
      </c>
      <c r="F605" s="402">
        <v>-2054679120.5999999</v>
      </c>
    </row>
    <row r="606" spans="1:6">
      <c r="A606">
        <v>39494</v>
      </c>
      <c r="B606" t="s">
        <v>609</v>
      </c>
      <c r="C606" s="402">
        <v>-1095234500.0899999</v>
      </c>
      <c r="D606" s="402">
        <v>2136998457.47</v>
      </c>
      <c r="E606" s="402">
        <v>2140082507.26</v>
      </c>
      <c r="F606" s="402">
        <v>-1098318549.8800001</v>
      </c>
    </row>
    <row r="607" spans="1:6">
      <c r="A607">
        <v>39495</v>
      </c>
      <c r="B607" t="s">
        <v>610</v>
      </c>
      <c r="C607" s="402">
        <v>-18171609036.080002</v>
      </c>
      <c r="D607" s="402">
        <v>18545491219.41</v>
      </c>
      <c r="E607" s="402">
        <v>17125733402.51</v>
      </c>
      <c r="F607" s="402">
        <v>-16751851219.18</v>
      </c>
    </row>
    <row r="608" spans="1:6">
      <c r="A608">
        <v>39496</v>
      </c>
      <c r="B608" t="s">
        <v>611</v>
      </c>
      <c r="C608" s="402">
        <v>-1501540990.8299999</v>
      </c>
      <c r="D608" s="402">
        <v>2503066739.0700002</v>
      </c>
      <c r="E608" s="402">
        <v>2466981834.4000001</v>
      </c>
      <c r="F608" s="402">
        <v>-1465456086.1600001</v>
      </c>
    </row>
    <row r="609" spans="1:6">
      <c r="A609">
        <v>39497</v>
      </c>
      <c r="B609" t="s">
        <v>1242</v>
      </c>
      <c r="C609">
        <v>0</v>
      </c>
      <c r="D609" s="402">
        <v>36000</v>
      </c>
      <c r="E609" s="402">
        <v>9176066.7599999998</v>
      </c>
      <c r="F609" s="402">
        <v>-9140066.7599999998</v>
      </c>
    </row>
    <row r="610" spans="1:6">
      <c r="A610">
        <v>39524</v>
      </c>
      <c r="B610" t="s">
        <v>1243</v>
      </c>
      <c r="C610">
        <v>0</v>
      </c>
      <c r="D610" s="402">
        <v>0</v>
      </c>
      <c r="E610" s="402">
        <v>424993.6</v>
      </c>
      <c r="F610" s="402">
        <v>-424993.6</v>
      </c>
    </row>
    <row r="611" spans="1:6">
      <c r="A611">
        <v>39526</v>
      </c>
      <c r="B611" t="s">
        <v>612</v>
      </c>
      <c r="C611">
        <v>0</v>
      </c>
      <c r="D611" s="402">
        <v>0</v>
      </c>
      <c r="E611" s="402">
        <v>27047.599999999999</v>
      </c>
      <c r="F611" s="402">
        <v>-27047.599999999999</v>
      </c>
    </row>
    <row r="612" spans="1:6">
      <c r="A612">
        <v>39547</v>
      </c>
      <c r="B612" t="s">
        <v>1244</v>
      </c>
      <c r="C612">
        <v>0</v>
      </c>
      <c r="D612" s="402">
        <v>0</v>
      </c>
      <c r="E612" s="402">
        <v>2282.73</v>
      </c>
      <c r="F612" s="402">
        <v>-2282.73</v>
      </c>
    </row>
    <row r="613" spans="1:6">
      <c r="A613">
        <v>39548</v>
      </c>
      <c r="B613" t="s">
        <v>1245</v>
      </c>
      <c r="C613">
        <v>0</v>
      </c>
      <c r="D613" s="402">
        <v>0</v>
      </c>
      <c r="E613" s="402">
        <v>4548.8</v>
      </c>
      <c r="F613" s="402">
        <v>-4548.8</v>
      </c>
    </row>
    <row r="614" spans="1:6">
      <c r="A614">
        <v>39551</v>
      </c>
      <c r="B614" t="s">
        <v>1246</v>
      </c>
      <c r="C614">
        <v>0</v>
      </c>
      <c r="D614" s="402">
        <v>0</v>
      </c>
      <c r="E614" s="402">
        <v>4890.8</v>
      </c>
      <c r="F614" s="402">
        <v>-4890.8</v>
      </c>
    </row>
    <row r="615" spans="1:6">
      <c r="A615">
        <v>39552</v>
      </c>
      <c r="B615" t="s">
        <v>613</v>
      </c>
      <c r="C615">
        <v>0</v>
      </c>
      <c r="D615" s="402">
        <v>0</v>
      </c>
      <c r="E615" s="402">
        <v>11267.8</v>
      </c>
      <c r="F615" s="402">
        <v>-11267.8</v>
      </c>
    </row>
    <row r="616" spans="1:6">
      <c r="A616">
        <v>39573</v>
      </c>
      <c r="B616" t="s">
        <v>1247</v>
      </c>
      <c r="C616">
        <v>0</v>
      </c>
      <c r="D616" s="402">
        <v>0</v>
      </c>
      <c r="E616" s="402">
        <v>3901.8</v>
      </c>
      <c r="F616" s="402">
        <v>-3901.8</v>
      </c>
    </row>
    <row r="617" spans="1:6">
      <c r="A617">
        <v>39581</v>
      </c>
      <c r="B617" t="s">
        <v>1248</v>
      </c>
      <c r="C617">
        <v>0</v>
      </c>
      <c r="D617" s="402">
        <v>0</v>
      </c>
      <c r="E617" s="402">
        <v>1770</v>
      </c>
      <c r="F617" s="402">
        <v>-1770</v>
      </c>
    </row>
    <row r="618" spans="1:6">
      <c r="A618">
        <v>39584</v>
      </c>
      <c r="B618" t="s">
        <v>1249</v>
      </c>
      <c r="C618" s="402">
        <v>0</v>
      </c>
      <c r="D618" s="402">
        <v>0</v>
      </c>
      <c r="E618" s="402">
        <v>17613.599999999999</v>
      </c>
      <c r="F618" s="402">
        <v>-17613.599999999999</v>
      </c>
    </row>
    <row r="619" spans="1:6">
      <c r="A619">
        <v>39600</v>
      </c>
      <c r="B619" t="s">
        <v>614</v>
      </c>
      <c r="C619" s="402">
        <v>589389960.63</v>
      </c>
      <c r="D619" s="402">
        <v>3287346269.8099999</v>
      </c>
      <c r="E619" s="402">
        <v>2043435784.49</v>
      </c>
      <c r="F619" s="402">
        <v>1833300445.95</v>
      </c>
    </row>
    <row r="620" spans="1:6">
      <c r="A620">
        <v>39601</v>
      </c>
      <c r="B620" t="s">
        <v>615</v>
      </c>
      <c r="C620" s="402">
        <v>-4836309788.8699999</v>
      </c>
      <c r="D620" s="402">
        <v>6749630747.29</v>
      </c>
      <c r="E620" s="402">
        <v>6160633060.2399998</v>
      </c>
      <c r="F620" s="402">
        <v>-4247312101.8200002</v>
      </c>
    </row>
    <row r="621" spans="1:6">
      <c r="A621">
        <v>39602</v>
      </c>
      <c r="B621" t="s">
        <v>616</v>
      </c>
      <c r="C621" s="402">
        <v>-21154744236.380001</v>
      </c>
      <c r="D621" s="402">
        <v>21159197190.790001</v>
      </c>
      <c r="E621" s="402">
        <v>21021177851.93</v>
      </c>
      <c r="F621" s="402">
        <v>-21016724897.52</v>
      </c>
    </row>
    <row r="622" spans="1:6">
      <c r="A622">
        <v>39603</v>
      </c>
      <c r="B622" t="s">
        <v>617</v>
      </c>
      <c r="C622" s="402">
        <v>-4339158373.6800003</v>
      </c>
      <c r="D622" s="402">
        <v>6135897400.7299995</v>
      </c>
      <c r="E622" s="402">
        <v>6255992486.7799997</v>
      </c>
      <c r="F622" s="402">
        <v>-4459253459.7299995</v>
      </c>
    </row>
    <row r="623" spans="1:6">
      <c r="A623">
        <v>39604</v>
      </c>
      <c r="B623" t="s">
        <v>618</v>
      </c>
      <c r="C623" s="402">
        <v>-8351357953.4499998</v>
      </c>
      <c r="D623" s="402">
        <v>10554107506.030001</v>
      </c>
      <c r="E623" s="402">
        <v>11331307273.83</v>
      </c>
      <c r="F623" s="402">
        <v>-9128557721.25</v>
      </c>
    </row>
    <row r="624" spans="1:6">
      <c r="A624">
        <v>39644</v>
      </c>
      <c r="B624" t="s">
        <v>619</v>
      </c>
      <c r="C624" s="402">
        <v>0</v>
      </c>
      <c r="D624" s="402">
        <v>4300.6000000000004</v>
      </c>
      <c r="E624" s="402">
        <v>4300.6000000000004</v>
      </c>
      <c r="F624" s="402">
        <v>0</v>
      </c>
    </row>
    <row r="625" spans="1:6">
      <c r="A625">
        <v>39692</v>
      </c>
      <c r="B625" t="s">
        <v>620</v>
      </c>
      <c r="C625" s="402">
        <v>0</v>
      </c>
      <c r="D625">
        <v>0</v>
      </c>
      <c r="E625" s="402">
        <v>18516</v>
      </c>
      <c r="F625" s="402">
        <v>-18516</v>
      </c>
    </row>
    <row r="626" spans="1:6">
      <c r="A626">
        <v>39693</v>
      </c>
      <c r="B626" t="s">
        <v>621</v>
      </c>
      <c r="C626" s="402">
        <v>0</v>
      </c>
      <c r="D626">
        <v>0</v>
      </c>
      <c r="E626" s="402">
        <v>38856</v>
      </c>
      <c r="F626" s="402">
        <v>-38856</v>
      </c>
    </row>
    <row r="627" spans="1:6">
      <c r="A627">
        <v>39700</v>
      </c>
      <c r="B627" t="s">
        <v>622</v>
      </c>
      <c r="C627" s="402">
        <v>138238127.88999999</v>
      </c>
      <c r="D627" s="402">
        <v>2081878230.54</v>
      </c>
      <c r="E627" s="402">
        <v>1249219038.6300001</v>
      </c>
      <c r="F627" s="402">
        <v>970897319.79999995</v>
      </c>
    </row>
    <row r="628" spans="1:6">
      <c r="A628">
        <v>39760</v>
      </c>
      <c r="B628" t="s">
        <v>623</v>
      </c>
      <c r="C628" s="402">
        <v>55546251.880000003</v>
      </c>
      <c r="D628" s="402">
        <v>555650490.71000004</v>
      </c>
      <c r="E628" s="402">
        <v>391928651</v>
      </c>
      <c r="F628" s="402">
        <v>219268091.59</v>
      </c>
    </row>
    <row r="629" spans="1:6">
      <c r="A629">
        <v>39994</v>
      </c>
      <c r="B629" t="s">
        <v>624</v>
      </c>
      <c r="C629" s="402">
        <v>133961536058.81</v>
      </c>
      <c r="D629" s="402">
        <v>123922521350.50999</v>
      </c>
      <c r="E629" s="402">
        <v>184907561004.19</v>
      </c>
      <c r="F629" s="402">
        <v>72976496405.130005</v>
      </c>
    </row>
    <row r="630" spans="1:6">
      <c r="A630">
        <v>39999</v>
      </c>
      <c r="B630" t="s">
        <v>625</v>
      </c>
      <c r="C630" s="402">
        <v>0</v>
      </c>
      <c r="D630" s="402">
        <v>10230</v>
      </c>
      <c r="E630" s="402">
        <v>19935</v>
      </c>
      <c r="F630" s="402">
        <v>-9705</v>
      </c>
    </row>
    <row r="631" spans="1:6">
      <c r="A631">
        <v>41144</v>
      </c>
      <c r="B631" t="s">
        <v>626</v>
      </c>
      <c r="C631" s="402">
        <v>-772571</v>
      </c>
      <c r="D631" s="402">
        <v>773344</v>
      </c>
      <c r="E631">
        <v>773</v>
      </c>
      <c r="F631" s="402">
        <v>0</v>
      </c>
    </row>
    <row r="632" spans="1:6">
      <c r="A632">
        <v>41145</v>
      </c>
      <c r="B632" t="s">
        <v>627</v>
      </c>
      <c r="C632" s="402">
        <v>-10317144</v>
      </c>
      <c r="D632" s="402">
        <v>10317144</v>
      </c>
      <c r="E632">
        <v>0</v>
      </c>
      <c r="F632" s="402">
        <v>0</v>
      </c>
    </row>
    <row r="633" spans="1:6">
      <c r="A633">
        <v>41146</v>
      </c>
      <c r="B633" t="s">
        <v>628</v>
      </c>
      <c r="C633" s="402">
        <v>-6468713</v>
      </c>
      <c r="D633" s="402">
        <v>6468713</v>
      </c>
      <c r="E633">
        <v>0</v>
      </c>
      <c r="F633" s="402">
        <v>0</v>
      </c>
    </row>
    <row r="634" spans="1:6">
      <c r="A634">
        <v>41306</v>
      </c>
      <c r="B634" t="s">
        <v>629</v>
      </c>
      <c r="C634" s="402">
        <v>-7159841.5</v>
      </c>
      <c r="D634" s="402">
        <v>7171752</v>
      </c>
      <c r="E634" s="402">
        <v>11910.5</v>
      </c>
      <c r="F634" s="402">
        <v>0</v>
      </c>
    </row>
    <row r="635" spans="1:6">
      <c r="A635">
        <v>42100</v>
      </c>
      <c r="B635" t="s">
        <v>182</v>
      </c>
      <c r="C635" s="402">
        <v>-54572</v>
      </c>
      <c r="D635" s="402">
        <v>54572</v>
      </c>
      <c r="E635">
        <v>0</v>
      </c>
      <c r="F635" s="402">
        <v>0</v>
      </c>
    </row>
    <row r="636" spans="1:6">
      <c r="A636">
        <v>42600</v>
      </c>
      <c r="B636" t="s">
        <v>183</v>
      </c>
      <c r="C636" s="402">
        <v>-258132115.03</v>
      </c>
      <c r="D636" s="402">
        <v>219226859.34</v>
      </c>
      <c r="E636" s="402">
        <v>3824123.59</v>
      </c>
      <c r="F636" s="402">
        <v>-42729379.280000001</v>
      </c>
    </row>
    <row r="637" spans="1:6">
      <c r="A637">
        <v>43100</v>
      </c>
      <c r="B637" t="s">
        <v>184</v>
      </c>
      <c r="C637" s="402">
        <v>-247900189.40000001</v>
      </c>
      <c r="D637" s="402">
        <v>6103180792.6199999</v>
      </c>
      <c r="E637" s="402">
        <v>7227304804.9300003</v>
      </c>
      <c r="F637" s="402">
        <v>-1372024201.71</v>
      </c>
    </row>
    <row r="638" spans="1:6">
      <c r="A638">
        <v>43101</v>
      </c>
      <c r="B638" t="s">
        <v>1250</v>
      </c>
      <c r="C638" s="402">
        <v>0</v>
      </c>
      <c r="D638" s="402">
        <v>24100</v>
      </c>
      <c r="E638" s="402">
        <v>24100</v>
      </c>
      <c r="F638" s="402">
        <v>0</v>
      </c>
    </row>
    <row r="639" spans="1:6">
      <c r="A639">
        <v>43102</v>
      </c>
      <c r="B639" t="s">
        <v>630</v>
      </c>
      <c r="C639" s="402">
        <v>0</v>
      </c>
      <c r="D639" s="402">
        <v>837624</v>
      </c>
      <c r="E639">
        <v>0</v>
      </c>
      <c r="F639" s="402">
        <v>837624</v>
      </c>
    </row>
    <row r="640" spans="1:6">
      <c r="A640">
        <v>43103</v>
      </c>
      <c r="B640" t="s">
        <v>631</v>
      </c>
      <c r="C640" s="402">
        <v>-6816485.3499999996</v>
      </c>
      <c r="D640" s="402">
        <v>2253719.35</v>
      </c>
      <c r="E640" s="402">
        <v>140480</v>
      </c>
      <c r="F640" s="402">
        <v>-4703246</v>
      </c>
    </row>
    <row r="641" spans="1:6">
      <c r="A641">
        <v>43200</v>
      </c>
      <c r="B641" t="s">
        <v>185</v>
      </c>
      <c r="C641" s="402">
        <v>0</v>
      </c>
      <c r="D641" s="402">
        <v>6055881498.3000002</v>
      </c>
      <c r="E641" s="402">
        <v>6055881498.3000002</v>
      </c>
      <c r="F641" s="402">
        <v>0</v>
      </c>
    </row>
    <row r="642" spans="1:6">
      <c r="A642">
        <v>43500</v>
      </c>
      <c r="B642" t="s">
        <v>186</v>
      </c>
      <c r="C642" s="402">
        <v>0</v>
      </c>
      <c r="D642" s="402">
        <v>310867108.13</v>
      </c>
      <c r="E642" s="402">
        <v>310867099.13</v>
      </c>
      <c r="F642" s="402">
        <v>9</v>
      </c>
    </row>
    <row r="643" spans="1:6">
      <c r="A643">
        <v>43600</v>
      </c>
      <c r="B643" t="s">
        <v>187</v>
      </c>
      <c r="C643" s="402">
        <v>-79518560.439999998</v>
      </c>
      <c r="D643" s="402">
        <v>79518560.900000006</v>
      </c>
      <c r="E643">
        <v>0.46</v>
      </c>
      <c r="F643" s="402">
        <v>0</v>
      </c>
    </row>
    <row r="644" spans="1:6">
      <c r="A644">
        <v>44130</v>
      </c>
      <c r="B644" t="s">
        <v>632</v>
      </c>
      <c r="C644" s="402">
        <v>-10784340.1</v>
      </c>
      <c r="D644" s="402">
        <v>10481114</v>
      </c>
      <c r="E644" s="402">
        <v>1335692</v>
      </c>
      <c r="F644" s="402">
        <v>-1638918.1</v>
      </c>
    </row>
    <row r="645" spans="1:6">
      <c r="A645">
        <v>44131</v>
      </c>
      <c r="B645" t="s">
        <v>1251</v>
      </c>
      <c r="C645" s="402">
        <v>0</v>
      </c>
      <c r="D645" s="402">
        <v>150802</v>
      </c>
      <c r="E645" s="402">
        <v>150802</v>
      </c>
      <c r="F645" s="402">
        <v>0</v>
      </c>
    </row>
    <row r="646" spans="1:6">
      <c r="A646">
        <v>44140</v>
      </c>
      <c r="B646" t="s">
        <v>633</v>
      </c>
      <c r="C646" s="402">
        <v>-2029051588</v>
      </c>
      <c r="D646">
        <v>0</v>
      </c>
      <c r="E646">
        <v>0</v>
      </c>
      <c r="F646" s="402">
        <v>-2029051588</v>
      </c>
    </row>
    <row r="647" spans="1:6">
      <c r="A647">
        <v>44161</v>
      </c>
      <c r="B647" t="s">
        <v>634</v>
      </c>
      <c r="C647" s="402">
        <v>-1211846585.05</v>
      </c>
      <c r="D647">
        <v>0</v>
      </c>
      <c r="E647">
        <v>0</v>
      </c>
      <c r="F647" s="402">
        <v>-1211846585.05</v>
      </c>
    </row>
    <row r="648" spans="1:6">
      <c r="A648">
        <v>44211</v>
      </c>
      <c r="B648" t="s">
        <v>635</v>
      </c>
      <c r="C648" s="402">
        <v>-118412.9</v>
      </c>
      <c r="D648">
        <v>0</v>
      </c>
      <c r="E648">
        <v>0</v>
      </c>
      <c r="F648" s="402">
        <v>-118412.9</v>
      </c>
    </row>
    <row r="649" spans="1:6">
      <c r="A649">
        <v>44214</v>
      </c>
      <c r="B649" t="s">
        <v>636</v>
      </c>
      <c r="C649" s="402">
        <v>-16336801.529999999</v>
      </c>
      <c r="D649">
        <v>0</v>
      </c>
      <c r="E649" s="402">
        <v>3380881</v>
      </c>
      <c r="F649" s="402">
        <v>-19717682.530000001</v>
      </c>
    </row>
    <row r="650" spans="1:6">
      <c r="A650">
        <v>44310</v>
      </c>
      <c r="B650" t="s">
        <v>637</v>
      </c>
      <c r="C650" s="402">
        <v>-109073</v>
      </c>
      <c r="D650" s="402">
        <v>2245612984</v>
      </c>
      <c r="E650" s="402">
        <v>2506567960</v>
      </c>
      <c r="F650" s="402">
        <v>-261064049</v>
      </c>
    </row>
    <row r="651" spans="1:6">
      <c r="A651">
        <v>44330</v>
      </c>
      <c r="B651" t="s">
        <v>108</v>
      </c>
      <c r="C651" s="402">
        <v>0</v>
      </c>
      <c r="D651" s="402">
        <v>193619</v>
      </c>
      <c r="E651" s="402">
        <v>193619</v>
      </c>
      <c r="F651" s="402">
        <v>0</v>
      </c>
    </row>
    <row r="652" spans="1:6">
      <c r="A652">
        <v>44401</v>
      </c>
      <c r="B652" t="s">
        <v>638</v>
      </c>
      <c r="C652" s="402">
        <v>-669314</v>
      </c>
      <c r="D652" s="402">
        <v>122996487</v>
      </c>
      <c r="E652" s="402">
        <v>141435186.97999999</v>
      </c>
      <c r="F652" s="402">
        <v>-19108013.98</v>
      </c>
    </row>
    <row r="653" spans="1:6">
      <c r="A653">
        <v>44402</v>
      </c>
      <c r="B653" t="s">
        <v>639</v>
      </c>
      <c r="C653" s="402">
        <v>0</v>
      </c>
      <c r="D653" s="402">
        <v>376100912</v>
      </c>
      <c r="E653" s="402">
        <v>374799644</v>
      </c>
      <c r="F653" s="402">
        <v>1301268</v>
      </c>
    </row>
    <row r="654" spans="1:6">
      <c r="A654">
        <v>44403</v>
      </c>
      <c r="B654" t="s">
        <v>640</v>
      </c>
      <c r="C654" s="402">
        <v>0</v>
      </c>
      <c r="D654" s="402">
        <v>318117</v>
      </c>
      <c r="E654" s="402">
        <v>318117</v>
      </c>
      <c r="F654" s="402">
        <v>0</v>
      </c>
    </row>
    <row r="655" spans="1:6">
      <c r="A655">
        <v>44404</v>
      </c>
      <c r="B655" t="s">
        <v>641</v>
      </c>
      <c r="C655" s="402">
        <v>2408</v>
      </c>
      <c r="D655" s="402">
        <v>299919783</v>
      </c>
      <c r="E655" s="402">
        <v>298822615</v>
      </c>
      <c r="F655" s="402">
        <v>1099576</v>
      </c>
    </row>
    <row r="656" spans="1:6">
      <c r="A656">
        <v>44406</v>
      </c>
      <c r="B656" t="s">
        <v>642</v>
      </c>
      <c r="C656" s="402">
        <v>0</v>
      </c>
      <c r="D656" s="402">
        <v>76954346.200000003</v>
      </c>
      <c r="E656" s="402">
        <v>84339899.599999994</v>
      </c>
      <c r="F656" s="402">
        <v>-7385553.4000000004</v>
      </c>
    </row>
    <row r="657" spans="1:6">
      <c r="A657">
        <v>44407</v>
      </c>
      <c r="B657" t="s">
        <v>643</v>
      </c>
      <c r="C657" s="402">
        <v>0</v>
      </c>
      <c r="D657" s="402">
        <v>13159650</v>
      </c>
      <c r="E657" s="402">
        <v>14569650</v>
      </c>
      <c r="F657" s="402">
        <v>-1410000</v>
      </c>
    </row>
    <row r="658" spans="1:6">
      <c r="A658">
        <v>44408</v>
      </c>
      <c r="B658" t="s">
        <v>644</v>
      </c>
      <c r="C658" s="402">
        <v>-424458</v>
      </c>
      <c r="D658" s="402">
        <v>213504</v>
      </c>
      <c r="E658" s="402">
        <v>101299</v>
      </c>
      <c r="F658" s="402">
        <v>-312253</v>
      </c>
    </row>
    <row r="659" spans="1:6">
      <c r="A659">
        <v>44412</v>
      </c>
      <c r="B659" t="s">
        <v>645</v>
      </c>
      <c r="C659">
        <v>0</v>
      </c>
      <c r="D659" s="402">
        <v>120285551</v>
      </c>
      <c r="E659" s="402">
        <v>118906852</v>
      </c>
      <c r="F659" s="402">
        <v>1378699</v>
      </c>
    </row>
    <row r="660" spans="1:6">
      <c r="A660">
        <v>44413</v>
      </c>
      <c r="B660" t="s">
        <v>646</v>
      </c>
      <c r="C660" s="402">
        <v>0</v>
      </c>
      <c r="D660" s="402">
        <v>98318911.420000002</v>
      </c>
      <c r="E660" s="402">
        <v>107963350.59</v>
      </c>
      <c r="F660" s="402">
        <v>-9644439.1699999999</v>
      </c>
    </row>
    <row r="661" spans="1:6">
      <c r="A661">
        <v>44414</v>
      </c>
      <c r="B661" t="s">
        <v>647</v>
      </c>
      <c r="C661" s="402">
        <v>-1858818</v>
      </c>
      <c r="D661" s="402">
        <v>108129166</v>
      </c>
      <c r="E661" s="402">
        <v>117007357</v>
      </c>
      <c r="F661" s="402">
        <v>-10737009</v>
      </c>
    </row>
    <row r="662" spans="1:6">
      <c r="A662">
        <v>44415</v>
      </c>
      <c r="B662" t="s">
        <v>108</v>
      </c>
      <c r="C662" s="402">
        <v>0</v>
      </c>
      <c r="D662" s="402">
        <v>2115</v>
      </c>
      <c r="E662" s="402">
        <v>2115</v>
      </c>
      <c r="F662" s="402">
        <v>0</v>
      </c>
    </row>
    <row r="663" spans="1:6">
      <c r="A663">
        <v>44419</v>
      </c>
      <c r="B663" t="s">
        <v>648</v>
      </c>
      <c r="C663" s="402">
        <v>-576454</v>
      </c>
      <c r="D663" s="402">
        <v>87063786.900000006</v>
      </c>
      <c r="E663" s="402">
        <v>99162342.549999997</v>
      </c>
      <c r="F663" s="402">
        <v>-12675009.65</v>
      </c>
    </row>
    <row r="664" spans="1:6">
      <c r="A664">
        <v>44420</v>
      </c>
      <c r="B664" t="s">
        <v>649</v>
      </c>
      <c r="C664" s="402">
        <v>-435182</v>
      </c>
      <c r="D664" s="402">
        <v>120404736.27</v>
      </c>
      <c r="E664" s="402">
        <v>124232282.48</v>
      </c>
      <c r="F664" s="402">
        <v>-4262728.21</v>
      </c>
    </row>
    <row r="665" spans="1:6">
      <c r="A665">
        <v>44429</v>
      </c>
      <c r="B665" t="s">
        <v>650</v>
      </c>
      <c r="C665" s="402">
        <v>-2603742.39</v>
      </c>
      <c r="D665" s="402">
        <v>3575700</v>
      </c>
      <c r="E665" s="402">
        <v>4124286</v>
      </c>
      <c r="F665" s="402">
        <v>-3152328.39</v>
      </c>
    </row>
    <row r="666" spans="1:6">
      <c r="A666">
        <v>44431</v>
      </c>
      <c r="B666" t="s">
        <v>651</v>
      </c>
      <c r="C666" s="402">
        <v>0</v>
      </c>
      <c r="D666" s="402">
        <v>3258539</v>
      </c>
      <c r="E666" s="402">
        <v>3258539</v>
      </c>
      <c r="F666" s="402">
        <v>0</v>
      </c>
    </row>
    <row r="667" spans="1:6">
      <c r="A667">
        <v>44432</v>
      </c>
      <c r="B667" t="s">
        <v>652</v>
      </c>
      <c r="C667" s="402">
        <v>-14945</v>
      </c>
      <c r="D667" s="402">
        <v>214833</v>
      </c>
      <c r="E667" s="402">
        <v>268101</v>
      </c>
      <c r="F667" s="402">
        <v>-68213</v>
      </c>
    </row>
    <row r="668" spans="1:6">
      <c r="A668">
        <v>44434</v>
      </c>
      <c r="B668" t="s">
        <v>653</v>
      </c>
      <c r="C668" s="402">
        <v>-14945</v>
      </c>
      <c r="D668" s="402">
        <v>211907</v>
      </c>
      <c r="E668" s="402">
        <v>268101</v>
      </c>
      <c r="F668" s="402">
        <v>-71139</v>
      </c>
    </row>
    <row r="669" spans="1:6">
      <c r="A669">
        <v>44441</v>
      </c>
      <c r="B669" t="s">
        <v>654</v>
      </c>
      <c r="C669" s="402">
        <v>-14400</v>
      </c>
      <c r="D669" s="402">
        <v>14400</v>
      </c>
      <c r="E669">
        <v>0</v>
      </c>
      <c r="F669" s="402">
        <v>0</v>
      </c>
    </row>
    <row r="670" spans="1:6">
      <c r="A670">
        <v>44450</v>
      </c>
      <c r="B670" t="s">
        <v>655</v>
      </c>
      <c r="C670" s="402">
        <v>-235591</v>
      </c>
      <c r="D670" s="402">
        <v>295293</v>
      </c>
      <c r="E670" s="402">
        <v>61702</v>
      </c>
      <c r="F670" s="402">
        <v>-2000</v>
      </c>
    </row>
    <row r="671" spans="1:6">
      <c r="A671">
        <v>44453</v>
      </c>
      <c r="B671" t="s">
        <v>656</v>
      </c>
      <c r="C671" s="402">
        <v>-1057</v>
      </c>
      <c r="D671" s="402">
        <v>1057</v>
      </c>
      <c r="E671">
        <v>0</v>
      </c>
      <c r="F671" s="402">
        <v>0</v>
      </c>
    </row>
    <row r="672" spans="1:6">
      <c r="A672">
        <v>44454</v>
      </c>
      <c r="B672" t="s">
        <v>657</v>
      </c>
      <c r="C672" s="402">
        <v>-64700</v>
      </c>
      <c r="D672" s="402">
        <v>74300</v>
      </c>
      <c r="E672" s="402">
        <v>9500</v>
      </c>
      <c r="F672" s="402">
        <v>100</v>
      </c>
    </row>
    <row r="673" spans="1:6">
      <c r="A673">
        <v>44456</v>
      </c>
      <c r="B673" t="s">
        <v>658</v>
      </c>
      <c r="C673" s="402">
        <v>-78400</v>
      </c>
      <c r="D673" s="402">
        <v>121600</v>
      </c>
      <c r="E673" s="402">
        <v>42400</v>
      </c>
      <c r="F673" s="402">
        <v>800</v>
      </c>
    </row>
    <row r="674" spans="1:6">
      <c r="A674">
        <v>44457</v>
      </c>
      <c r="B674" t="s">
        <v>659</v>
      </c>
      <c r="C674" s="402">
        <v>-39700</v>
      </c>
      <c r="D674" s="402">
        <v>59500</v>
      </c>
      <c r="E674" s="402">
        <v>19600</v>
      </c>
      <c r="F674" s="402">
        <v>200</v>
      </c>
    </row>
    <row r="675" spans="1:6">
      <c r="A675">
        <v>44461</v>
      </c>
      <c r="B675" t="s">
        <v>660</v>
      </c>
      <c r="C675" s="402">
        <v>-1293</v>
      </c>
      <c r="D675">
        <v>0</v>
      </c>
      <c r="E675">
        <v>0</v>
      </c>
      <c r="F675" s="402">
        <v>-1293</v>
      </c>
    </row>
    <row r="676" spans="1:6">
      <c r="A676">
        <v>44466</v>
      </c>
      <c r="B676" t="s">
        <v>661</v>
      </c>
      <c r="C676" s="402">
        <v>-37750</v>
      </c>
      <c r="D676" s="402">
        <v>66591</v>
      </c>
      <c r="E676" s="402">
        <v>28841</v>
      </c>
      <c r="F676" s="402">
        <v>0</v>
      </c>
    </row>
    <row r="677" spans="1:6">
      <c r="A677">
        <v>44473</v>
      </c>
      <c r="B677" t="s">
        <v>662</v>
      </c>
      <c r="C677" s="402">
        <v>-17994</v>
      </c>
      <c r="D677" s="402">
        <v>76967</v>
      </c>
      <c r="E677" s="402">
        <v>89501</v>
      </c>
      <c r="F677" s="402">
        <v>-30528</v>
      </c>
    </row>
    <row r="678" spans="1:6">
      <c r="A678">
        <v>44475</v>
      </c>
      <c r="B678" t="s">
        <v>663</v>
      </c>
      <c r="C678" s="402">
        <v>-6682228.1900000004</v>
      </c>
      <c r="D678" s="402">
        <v>108034</v>
      </c>
      <c r="E678" s="402">
        <v>333843</v>
      </c>
      <c r="F678" s="402">
        <v>-6908037.1900000004</v>
      </c>
    </row>
    <row r="679" spans="1:6">
      <c r="A679">
        <v>44476</v>
      </c>
      <c r="B679" t="s">
        <v>664</v>
      </c>
      <c r="C679" s="402">
        <v>-2078058</v>
      </c>
      <c r="D679">
        <v>0</v>
      </c>
      <c r="E679" s="402">
        <v>106140</v>
      </c>
      <c r="F679" s="402">
        <v>-2184198</v>
      </c>
    </row>
    <row r="680" spans="1:6">
      <c r="A680">
        <v>44477</v>
      </c>
      <c r="B680" t="s">
        <v>665</v>
      </c>
      <c r="C680" s="402">
        <v>-1769065</v>
      </c>
      <c r="D680">
        <v>0</v>
      </c>
      <c r="E680" s="402">
        <v>1984</v>
      </c>
      <c r="F680" s="402">
        <v>-1771049</v>
      </c>
    </row>
    <row r="681" spans="1:6">
      <c r="A681">
        <v>45100</v>
      </c>
      <c r="B681" t="s">
        <v>192</v>
      </c>
      <c r="C681" s="402">
        <v>-12799343.529999999</v>
      </c>
      <c r="D681" s="402">
        <v>3845568.38</v>
      </c>
      <c r="E681" s="402">
        <v>3845568.38</v>
      </c>
      <c r="F681" s="402">
        <v>-12799343.529999999</v>
      </c>
    </row>
    <row r="682" spans="1:6">
      <c r="A682">
        <v>45101</v>
      </c>
      <c r="B682" t="s">
        <v>666</v>
      </c>
      <c r="C682" s="402">
        <v>0</v>
      </c>
      <c r="D682" s="402">
        <v>30491.11</v>
      </c>
      <c r="E682" s="402">
        <v>664034.18999999994</v>
      </c>
      <c r="F682" s="402">
        <v>-633543.07999999996</v>
      </c>
    </row>
    <row r="683" spans="1:6">
      <c r="A683">
        <v>45106</v>
      </c>
      <c r="B683" t="s">
        <v>667</v>
      </c>
      <c r="C683" s="402">
        <v>0</v>
      </c>
      <c r="D683" s="402">
        <v>2534730.3199999998</v>
      </c>
      <c r="E683">
        <v>0</v>
      </c>
      <c r="F683" s="402">
        <v>2534730.3199999998</v>
      </c>
    </row>
    <row r="684" spans="1:6">
      <c r="A684">
        <v>45107</v>
      </c>
      <c r="B684" t="s">
        <v>668</v>
      </c>
      <c r="C684" s="402">
        <v>0</v>
      </c>
      <c r="D684" s="402">
        <v>100915</v>
      </c>
      <c r="E684" s="402">
        <v>20915</v>
      </c>
      <c r="F684" s="402">
        <v>80000</v>
      </c>
    </row>
    <row r="685" spans="1:6">
      <c r="A685">
        <v>45200</v>
      </c>
      <c r="B685" t="s">
        <v>669</v>
      </c>
      <c r="C685" s="402">
        <v>-124867507.13</v>
      </c>
      <c r="D685" s="402">
        <v>20915945</v>
      </c>
      <c r="E685" s="402">
        <v>20915945</v>
      </c>
      <c r="F685" s="402">
        <v>-124867507.13</v>
      </c>
    </row>
    <row r="686" spans="1:6">
      <c r="A686">
        <v>45201</v>
      </c>
      <c r="B686" t="s">
        <v>670</v>
      </c>
      <c r="C686" s="402">
        <v>0</v>
      </c>
      <c r="D686" s="402">
        <v>36275</v>
      </c>
      <c r="E686" s="402">
        <v>4398225</v>
      </c>
      <c r="F686" s="402">
        <v>-4361950</v>
      </c>
    </row>
    <row r="687" spans="1:6">
      <c r="A687">
        <v>45205</v>
      </c>
      <c r="B687" t="s">
        <v>671</v>
      </c>
      <c r="C687" s="402">
        <v>0</v>
      </c>
      <c r="D687" s="402">
        <v>13683969</v>
      </c>
      <c r="E687" s="402">
        <v>275232</v>
      </c>
      <c r="F687" s="402">
        <v>13408737</v>
      </c>
    </row>
    <row r="688" spans="1:6">
      <c r="A688">
        <v>45206</v>
      </c>
      <c r="B688" t="s">
        <v>672</v>
      </c>
      <c r="C688" s="402">
        <v>0</v>
      </c>
      <c r="D688" s="402">
        <v>3029190</v>
      </c>
      <c r="E688" s="402">
        <v>250619</v>
      </c>
      <c r="F688" s="402">
        <v>2778571</v>
      </c>
    </row>
    <row r="689" spans="1:6">
      <c r="A689">
        <v>46101</v>
      </c>
      <c r="B689" t="s">
        <v>673</v>
      </c>
      <c r="C689" s="402">
        <v>-303459551.69999999</v>
      </c>
      <c r="D689" s="402">
        <v>128962155</v>
      </c>
      <c r="E689" s="402">
        <v>161821393</v>
      </c>
      <c r="F689" s="402">
        <v>-336318789.69999999</v>
      </c>
    </row>
    <row r="690" spans="1:6">
      <c r="A690">
        <v>46102</v>
      </c>
      <c r="B690" t="s">
        <v>674</v>
      </c>
      <c r="C690" s="402">
        <v>-860012</v>
      </c>
      <c r="D690" s="402">
        <v>2968863</v>
      </c>
      <c r="E690" s="402">
        <v>280355</v>
      </c>
      <c r="F690" s="402">
        <v>1828496</v>
      </c>
    </row>
    <row r="691" spans="1:6">
      <c r="A691">
        <v>46103</v>
      </c>
      <c r="B691" t="s">
        <v>675</v>
      </c>
      <c r="C691" s="402">
        <v>-94813065.980000004</v>
      </c>
      <c r="D691" s="402">
        <v>78757482.489999995</v>
      </c>
      <c r="E691" s="402">
        <v>97916548</v>
      </c>
      <c r="F691" s="402">
        <v>-113972131.48999999</v>
      </c>
    </row>
    <row r="692" spans="1:6">
      <c r="A692">
        <v>46104</v>
      </c>
      <c r="B692" t="s">
        <v>676</v>
      </c>
      <c r="C692" s="402">
        <v>-150245236.21000001</v>
      </c>
      <c r="D692" s="402">
        <v>28211587.120000001</v>
      </c>
      <c r="E692" s="402">
        <v>32117240.75</v>
      </c>
      <c r="F692" s="402">
        <v>-154150889.84</v>
      </c>
    </row>
    <row r="693" spans="1:6">
      <c r="A693">
        <v>46105</v>
      </c>
      <c r="B693" t="s">
        <v>677</v>
      </c>
      <c r="C693" s="402">
        <v>-104883193.8</v>
      </c>
      <c r="D693" s="402">
        <v>2219268</v>
      </c>
      <c r="E693" s="402">
        <v>12356715</v>
      </c>
      <c r="F693" s="402">
        <v>-115020640.8</v>
      </c>
    </row>
    <row r="694" spans="1:6">
      <c r="A694">
        <v>46106</v>
      </c>
      <c r="B694" t="s">
        <v>678</v>
      </c>
      <c r="C694" s="402">
        <v>-32271740</v>
      </c>
      <c r="D694" s="402">
        <v>1500000</v>
      </c>
      <c r="E694" s="402">
        <v>600000</v>
      </c>
      <c r="F694" s="402">
        <v>-31371740</v>
      </c>
    </row>
    <row r="695" spans="1:6">
      <c r="A695">
        <v>46107</v>
      </c>
      <c r="B695" t="s">
        <v>679</v>
      </c>
      <c r="C695" s="402">
        <v>-708469</v>
      </c>
      <c r="D695">
        <v>0</v>
      </c>
      <c r="E695">
        <v>0</v>
      </c>
      <c r="F695" s="402">
        <v>-708469</v>
      </c>
    </row>
    <row r="696" spans="1:6">
      <c r="A696">
        <v>46109</v>
      </c>
      <c r="B696" t="s">
        <v>1252</v>
      </c>
      <c r="C696" s="402">
        <v>0</v>
      </c>
      <c r="D696">
        <v>0</v>
      </c>
      <c r="E696" s="402">
        <v>300000</v>
      </c>
      <c r="F696" s="402">
        <v>-300000</v>
      </c>
    </row>
    <row r="697" spans="1:6">
      <c r="A697">
        <v>46114</v>
      </c>
      <c r="B697" t="s">
        <v>680</v>
      </c>
      <c r="C697" s="402">
        <v>0</v>
      </c>
      <c r="D697">
        <v>0</v>
      </c>
      <c r="E697" s="402">
        <v>20291.330000000002</v>
      </c>
      <c r="F697" s="402">
        <v>-20291.330000000002</v>
      </c>
    </row>
    <row r="698" spans="1:6">
      <c r="A698">
        <v>46116</v>
      </c>
      <c r="B698" t="s">
        <v>681</v>
      </c>
      <c r="C698" s="402">
        <v>-6033179</v>
      </c>
      <c r="D698" s="402">
        <v>2728</v>
      </c>
      <c r="E698" s="402">
        <v>2728</v>
      </c>
      <c r="F698" s="402">
        <v>-6033179</v>
      </c>
    </row>
    <row r="699" spans="1:6">
      <c r="A699">
        <v>46117</v>
      </c>
      <c r="B699" t="s">
        <v>682</v>
      </c>
      <c r="C699" s="402">
        <v>-198052364.31</v>
      </c>
      <c r="D699" s="402">
        <v>12450330.49</v>
      </c>
      <c r="E699" s="402">
        <v>59227401.939999998</v>
      </c>
      <c r="F699" s="402">
        <v>-244829435.75999999</v>
      </c>
    </row>
    <row r="700" spans="1:6">
      <c r="A700">
        <v>46118</v>
      </c>
      <c r="B700" t="s">
        <v>683</v>
      </c>
      <c r="C700" s="402">
        <v>-3630455.8</v>
      </c>
      <c r="D700" s="402">
        <v>1052949</v>
      </c>
      <c r="E700" s="402">
        <v>37471096</v>
      </c>
      <c r="F700" s="402">
        <v>-40048602.799999997</v>
      </c>
    </row>
    <row r="701" spans="1:6">
      <c r="A701">
        <v>46150</v>
      </c>
      <c r="B701" t="s">
        <v>684</v>
      </c>
      <c r="C701" s="402">
        <v>-13222929.529999999</v>
      </c>
      <c r="D701" s="402">
        <v>59787785.380000003</v>
      </c>
      <c r="E701" s="402">
        <v>64109917.159999996</v>
      </c>
      <c r="F701" s="402">
        <v>-17545061.309999999</v>
      </c>
    </row>
    <row r="702" spans="1:6">
      <c r="A702">
        <v>46151</v>
      </c>
      <c r="B702" t="s">
        <v>685</v>
      </c>
      <c r="C702" s="402">
        <v>-8126922.2199999997</v>
      </c>
      <c r="D702" s="402">
        <v>4469417.1100000003</v>
      </c>
      <c r="E702" s="402">
        <v>1029976</v>
      </c>
      <c r="F702" s="402">
        <v>-4687481.1100000003</v>
      </c>
    </row>
    <row r="703" spans="1:6">
      <c r="A703">
        <v>46154</v>
      </c>
      <c r="B703" t="s">
        <v>686</v>
      </c>
      <c r="C703" s="402">
        <v>-1225395</v>
      </c>
      <c r="D703" s="402">
        <v>500</v>
      </c>
      <c r="E703">
        <v>500</v>
      </c>
      <c r="F703" s="402">
        <v>-1225395</v>
      </c>
    </row>
    <row r="704" spans="1:6">
      <c r="A704">
        <v>46156</v>
      </c>
      <c r="B704" t="s">
        <v>687</v>
      </c>
      <c r="C704" s="402">
        <v>0</v>
      </c>
      <c r="D704" s="402">
        <v>1036</v>
      </c>
      <c r="E704" s="402">
        <v>1036</v>
      </c>
      <c r="F704" s="402">
        <v>0</v>
      </c>
    </row>
    <row r="705" spans="1:6">
      <c r="A705">
        <v>46160</v>
      </c>
      <c r="B705" t="s">
        <v>688</v>
      </c>
      <c r="C705" s="402">
        <v>-181021</v>
      </c>
      <c r="D705">
        <v>0</v>
      </c>
      <c r="E705">
        <v>0</v>
      </c>
      <c r="F705" s="402">
        <v>-181021</v>
      </c>
    </row>
    <row r="706" spans="1:6">
      <c r="A706">
        <v>46162</v>
      </c>
      <c r="B706" t="s">
        <v>689</v>
      </c>
      <c r="C706" s="402">
        <v>-5720954</v>
      </c>
      <c r="D706" s="402">
        <v>5768731</v>
      </c>
      <c r="E706" s="402">
        <v>6255622</v>
      </c>
      <c r="F706" s="402">
        <v>-6207845</v>
      </c>
    </row>
    <row r="707" spans="1:6">
      <c r="A707">
        <v>46163</v>
      </c>
      <c r="B707" t="s">
        <v>690</v>
      </c>
      <c r="C707" s="402">
        <v>-71525739.519999996</v>
      </c>
      <c r="D707" s="402">
        <v>1186828</v>
      </c>
      <c r="E707" s="402">
        <v>1186828</v>
      </c>
      <c r="F707" s="402">
        <v>-71525739.519999996</v>
      </c>
    </row>
    <row r="708" spans="1:6">
      <c r="A708">
        <v>46203</v>
      </c>
      <c r="B708" t="s">
        <v>691</v>
      </c>
      <c r="C708" s="402">
        <v>0</v>
      </c>
      <c r="D708">
        <v>0</v>
      </c>
      <c r="E708" s="402">
        <v>445330000</v>
      </c>
      <c r="F708" s="402">
        <v>-445330000</v>
      </c>
    </row>
    <row r="709" spans="1:6">
      <c r="A709">
        <v>46300</v>
      </c>
      <c r="B709" t="s">
        <v>692</v>
      </c>
      <c r="C709" s="402">
        <v>0</v>
      </c>
      <c r="D709" s="402">
        <v>12991178878.91</v>
      </c>
      <c r="E709" s="402">
        <v>20260466951.040001</v>
      </c>
      <c r="F709" s="402">
        <v>-7269288072.1300001</v>
      </c>
    </row>
    <row r="710" spans="1:6">
      <c r="A710">
        <v>46301</v>
      </c>
      <c r="B710" t="s">
        <v>693</v>
      </c>
      <c r="C710" s="402">
        <v>-1370224818.6300001</v>
      </c>
      <c r="D710" s="402">
        <v>985429.4</v>
      </c>
      <c r="E710">
        <v>0</v>
      </c>
      <c r="F710" s="402">
        <v>-1369239389.23</v>
      </c>
    </row>
    <row r="711" spans="1:6">
      <c r="A711">
        <v>46302</v>
      </c>
      <c r="B711" t="s">
        <v>694</v>
      </c>
      <c r="C711" s="402">
        <v>-45007977.57</v>
      </c>
      <c r="D711">
        <v>0</v>
      </c>
      <c r="E711">
        <v>0</v>
      </c>
      <c r="F711" s="402">
        <v>-45007977.57</v>
      </c>
    </row>
    <row r="712" spans="1:6">
      <c r="A712">
        <v>46311</v>
      </c>
      <c r="B712" t="s">
        <v>695</v>
      </c>
      <c r="C712" s="402">
        <v>-14356649.210000001</v>
      </c>
      <c r="D712">
        <v>0</v>
      </c>
      <c r="E712">
        <v>0</v>
      </c>
      <c r="F712" s="402">
        <v>-14356649.210000001</v>
      </c>
    </row>
    <row r="713" spans="1:6">
      <c r="A713">
        <v>46312</v>
      </c>
      <c r="B713" t="s">
        <v>696</v>
      </c>
      <c r="C713" s="402">
        <v>-3719488.7</v>
      </c>
      <c r="D713">
        <v>0</v>
      </c>
      <c r="E713">
        <v>0</v>
      </c>
      <c r="F713" s="402">
        <v>-3719488.7</v>
      </c>
    </row>
    <row r="714" spans="1:6">
      <c r="A714">
        <v>46313</v>
      </c>
      <c r="B714" t="s">
        <v>697</v>
      </c>
      <c r="C714" s="402">
        <v>-10729.62</v>
      </c>
      <c r="D714">
        <v>588.25</v>
      </c>
      <c r="E714">
        <v>588.25</v>
      </c>
      <c r="F714" s="402">
        <v>-10729.62</v>
      </c>
    </row>
    <row r="715" spans="1:6">
      <c r="A715">
        <v>46322</v>
      </c>
      <c r="B715" t="s">
        <v>698</v>
      </c>
      <c r="C715" s="402">
        <v>-2707182</v>
      </c>
      <c r="D715" s="402">
        <v>6690587.6799999997</v>
      </c>
      <c r="E715" s="402">
        <v>9041065.7599999998</v>
      </c>
      <c r="F715" s="402">
        <v>-5057660.08</v>
      </c>
    </row>
    <row r="716" spans="1:6">
      <c r="A716">
        <v>46412</v>
      </c>
      <c r="B716" t="s">
        <v>699</v>
      </c>
      <c r="C716" s="402">
        <v>-109282</v>
      </c>
      <c r="D716" s="402">
        <v>7292917813.3199997</v>
      </c>
      <c r="E716" s="402">
        <v>5700933819.2399998</v>
      </c>
      <c r="F716" s="402">
        <v>1591874712.0799999</v>
      </c>
    </row>
    <row r="717" spans="1:6">
      <c r="A717">
        <v>46414</v>
      </c>
      <c r="B717" t="s">
        <v>700</v>
      </c>
      <c r="C717" s="402">
        <v>-13501473</v>
      </c>
      <c r="D717">
        <v>0</v>
      </c>
      <c r="E717">
        <v>0</v>
      </c>
      <c r="F717" s="402">
        <v>-13501473</v>
      </c>
    </row>
    <row r="718" spans="1:6">
      <c r="A718">
        <v>46430</v>
      </c>
      <c r="B718" t="s">
        <v>701</v>
      </c>
      <c r="C718" s="402">
        <v>-361913740.77999997</v>
      </c>
      <c r="D718" s="402">
        <v>355176682.12</v>
      </c>
      <c r="E718" s="402">
        <v>38919875.899999999</v>
      </c>
      <c r="F718" s="402">
        <v>-45656934.560000002</v>
      </c>
    </row>
    <row r="719" spans="1:6">
      <c r="A719">
        <v>46701</v>
      </c>
      <c r="B719" t="s">
        <v>702</v>
      </c>
      <c r="C719" s="402">
        <v>-2157600</v>
      </c>
      <c r="D719">
        <v>0</v>
      </c>
      <c r="E719">
        <v>0</v>
      </c>
      <c r="F719" s="402">
        <v>-2157600</v>
      </c>
    </row>
    <row r="720" spans="1:6">
      <c r="A720">
        <v>46702</v>
      </c>
      <c r="B720" t="s">
        <v>703</v>
      </c>
      <c r="C720" s="402">
        <v>0</v>
      </c>
      <c r="D720">
        <v>300</v>
      </c>
      <c r="E720">
        <v>300</v>
      </c>
      <c r="F720" s="402">
        <v>0</v>
      </c>
    </row>
    <row r="721" spans="1:6">
      <c r="A721">
        <v>46704</v>
      </c>
      <c r="B721" t="s">
        <v>1253</v>
      </c>
      <c r="C721" s="402">
        <v>0</v>
      </c>
      <c r="D721" s="402">
        <v>1176</v>
      </c>
      <c r="E721" s="402">
        <v>1176</v>
      </c>
      <c r="F721" s="402">
        <v>0</v>
      </c>
    </row>
    <row r="722" spans="1:6">
      <c r="A722">
        <v>46730</v>
      </c>
      <c r="B722" t="s">
        <v>704</v>
      </c>
      <c r="C722" s="402">
        <v>0</v>
      </c>
      <c r="D722" s="402">
        <v>6573</v>
      </c>
      <c r="E722" s="402">
        <v>6573</v>
      </c>
      <c r="F722" s="402">
        <v>0</v>
      </c>
    </row>
    <row r="723" spans="1:6">
      <c r="A723">
        <v>46739</v>
      </c>
      <c r="B723" t="s">
        <v>705</v>
      </c>
      <c r="C723" s="402">
        <v>-4357948</v>
      </c>
      <c r="D723">
        <v>0</v>
      </c>
      <c r="E723">
        <v>0</v>
      </c>
      <c r="F723" s="402">
        <v>-4357948</v>
      </c>
    </row>
    <row r="724" spans="1:6">
      <c r="A724">
        <v>46810</v>
      </c>
      <c r="B724" t="s">
        <v>706</v>
      </c>
      <c r="C724" s="402">
        <v>-799672626.98000002</v>
      </c>
      <c r="D724">
        <v>0</v>
      </c>
      <c r="E724">
        <v>0</v>
      </c>
      <c r="F724" s="402">
        <v>-799672626.98000002</v>
      </c>
    </row>
    <row r="725" spans="1:6">
      <c r="A725">
        <v>46902</v>
      </c>
      <c r="B725" t="s">
        <v>707</v>
      </c>
      <c r="C725" s="402">
        <v>0</v>
      </c>
      <c r="D725">
        <v>896</v>
      </c>
      <c r="E725">
        <v>896</v>
      </c>
      <c r="F725" s="402">
        <v>0</v>
      </c>
    </row>
    <row r="726" spans="1:6">
      <c r="A726">
        <v>46903</v>
      </c>
      <c r="B726" t="s">
        <v>708</v>
      </c>
      <c r="C726" s="402">
        <v>-3373079.26</v>
      </c>
      <c r="D726" s="402">
        <v>44489680.43</v>
      </c>
      <c r="E726" s="402">
        <v>47792870.460000001</v>
      </c>
      <c r="F726" s="402">
        <v>-6676269.29</v>
      </c>
    </row>
    <row r="727" spans="1:6">
      <c r="A727">
        <v>46904</v>
      </c>
      <c r="B727" t="s">
        <v>709</v>
      </c>
      <c r="C727" s="402">
        <v>-3373079.26</v>
      </c>
      <c r="D727" s="402">
        <v>44313555.289999999</v>
      </c>
      <c r="E727" s="402">
        <v>47616745.32</v>
      </c>
      <c r="F727" s="402">
        <v>-6676269.29</v>
      </c>
    </row>
    <row r="728" spans="1:6">
      <c r="A728">
        <v>46905</v>
      </c>
      <c r="B728" t="s">
        <v>710</v>
      </c>
      <c r="C728" s="402">
        <v>-5116254.58</v>
      </c>
      <c r="D728" s="402">
        <v>48310419.82</v>
      </c>
      <c r="E728" s="402">
        <v>51300833.240000002</v>
      </c>
      <c r="F728" s="402">
        <v>-8106668</v>
      </c>
    </row>
    <row r="729" spans="1:6">
      <c r="A729">
        <v>46906</v>
      </c>
      <c r="B729" t="s">
        <v>711</v>
      </c>
      <c r="C729" s="402">
        <v>0</v>
      </c>
      <c r="D729" s="402">
        <v>6014.52</v>
      </c>
      <c r="E729" s="402">
        <v>6014.52</v>
      </c>
      <c r="F729" s="402">
        <v>0</v>
      </c>
    </row>
    <row r="730" spans="1:6">
      <c r="A730">
        <v>46909</v>
      </c>
      <c r="B730" t="s">
        <v>712</v>
      </c>
      <c r="C730" s="402">
        <v>-130651.7</v>
      </c>
      <c r="D730" s="402">
        <v>4251327.3099999996</v>
      </c>
      <c r="E730" s="402">
        <v>4996294.28</v>
      </c>
      <c r="F730" s="402">
        <v>-875618.67</v>
      </c>
    </row>
    <row r="731" spans="1:6">
      <c r="A731">
        <v>46910</v>
      </c>
      <c r="B731" t="s">
        <v>713</v>
      </c>
      <c r="C731" s="402">
        <v>-10585664.68</v>
      </c>
      <c r="D731" s="402">
        <v>5403830</v>
      </c>
      <c r="E731" s="402">
        <v>7054339.7199999997</v>
      </c>
      <c r="F731" s="402">
        <v>-12236174.4</v>
      </c>
    </row>
    <row r="732" spans="1:6">
      <c r="A732">
        <v>46912</v>
      </c>
      <c r="B732" t="s">
        <v>1254</v>
      </c>
      <c r="C732" s="402">
        <v>0</v>
      </c>
      <c r="D732" s="402">
        <v>1153</v>
      </c>
      <c r="E732" s="402">
        <v>1153</v>
      </c>
      <c r="F732" s="402">
        <v>0</v>
      </c>
    </row>
    <row r="733" spans="1:6">
      <c r="A733">
        <v>46916</v>
      </c>
      <c r="B733" t="s">
        <v>1255</v>
      </c>
      <c r="C733" s="402">
        <v>0</v>
      </c>
      <c r="D733">
        <v>0</v>
      </c>
      <c r="E733" s="402">
        <v>63613</v>
      </c>
      <c r="F733" s="402">
        <v>-63613</v>
      </c>
    </row>
    <row r="734" spans="1:6">
      <c r="A734">
        <v>46918</v>
      </c>
      <c r="B734" t="s">
        <v>1256</v>
      </c>
      <c r="C734" s="402">
        <v>0</v>
      </c>
      <c r="D734">
        <v>0</v>
      </c>
      <c r="E734" s="402">
        <v>3000</v>
      </c>
      <c r="F734" s="402">
        <v>-3000</v>
      </c>
    </row>
    <row r="735" spans="1:6">
      <c r="A735">
        <v>46919</v>
      </c>
      <c r="B735" t="s">
        <v>1257</v>
      </c>
      <c r="C735" s="402">
        <v>0</v>
      </c>
      <c r="D735">
        <v>0</v>
      </c>
      <c r="E735">
        <v>0.4</v>
      </c>
      <c r="F735" s="402">
        <v>-0.4</v>
      </c>
    </row>
    <row r="736" spans="1:6">
      <c r="A736">
        <v>46921</v>
      </c>
      <c r="B736" t="s">
        <v>714</v>
      </c>
      <c r="C736" s="402">
        <v>-11345347.380000001</v>
      </c>
      <c r="D736">
        <v>0</v>
      </c>
      <c r="E736" s="402">
        <v>1819129.48</v>
      </c>
      <c r="F736" s="402">
        <v>-13164476.859999999</v>
      </c>
    </row>
    <row r="737" spans="1:6">
      <c r="A737">
        <v>46922</v>
      </c>
      <c r="B737" t="s">
        <v>715</v>
      </c>
      <c r="C737" s="402">
        <v>-11763806</v>
      </c>
      <c r="D737" s="402">
        <v>12532366</v>
      </c>
      <c r="E737" s="402">
        <v>768560</v>
      </c>
      <c r="F737" s="402">
        <v>0</v>
      </c>
    </row>
    <row r="738" spans="1:6">
      <c r="A738">
        <v>46923</v>
      </c>
      <c r="B738" t="s">
        <v>716</v>
      </c>
      <c r="C738" s="402">
        <v>-61447497</v>
      </c>
      <c r="D738" s="402">
        <v>62890823</v>
      </c>
      <c r="E738" s="402">
        <v>1455101.66</v>
      </c>
      <c r="F738" s="402">
        <v>-11775.66</v>
      </c>
    </row>
    <row r="739" spans="1:6">
      <c r="A739">
        <v>46924</v>
      </c>
      <c r="B739" t="s">
        <v>717</v>
      </c>
      <c r="C739" s="402">
        <v>-3113142.76</v>
      </c>
      <c r="D739" s="402">
        <v>34168731.399999999</v>
      </c>
      <c r="E739" s="402">
        <v>36043531.960000001</v>
      </c>
      <c r="F739" s="402">
        <v>-4987943.32</v>
      </c>
    </row>
    <row r="740" spans="1:6">
      <c r="A740">
        <v>46925</v>
      </c>
      <c r="B740" t="s">
        <v>718</v>
      </c>
      <c r="C740" s="402">
        <v>-1099417.5</v>
      </c>
      <c r="D740" s="402">
        <v>3623070</v>
      </c>
      <c r="E740" s="402">
        <v>3210949</v>
      </c>
      <c r="F740" s="402">
        <v>-687296.5</v>
      </c>
    </row>
    <row r="741" spans="1:6">
      <c r="A741">
        <v>46927</v>
      </c>
      <c r="B741" t="s">
        <v>719</v>
      </c>
      <c r="C741" s="402">
        <v>0</v>
      </c>
      <c r="D741" s="402">
        <v>252</v>
      </c>
      <c r="E741" s="402">
        <v>252</v>
      </c>
      <c r="F741" s="402">
        <v>0</v>
      </c>
    </row>
    <row r="742" spans="1:6">
      <c r="A742">
        <v>46930</v>
      </c>
      <c r="B742" t="s">
        <v>720</v>
      </c>
      <c r="C742" s="402">
        <v>-6736051.1799999997</v>
      </c>
      <c r="D742" s="402">
        <v>0</v>
      </c>
      <c r="E742" s="402">
        <v>162093</v>
      </c>
      <c r="F742" s="402">
        <v>-6898144.1799999997</v>
      </c>
    </row>
    <row r="743" spans="1:6">
      <c r="A743">
        <v>46931</v>
      </c>
      <c r="B743" t="s">
        <v>721</v>
      </c>
      <c r="C743" s="402">
        <v>-742360</v>
      </c>
      <c r="D743">
        <v>0</v>
      </c>
      <c r="E743" s="402">
        <v>0</v>
      </c>
      <c r="F743" s="402">
        <v>-742360</v>
      </c>
    </row>
    <row r="744" spans="1:6">
      <c r="A744">
        <v>46936</v>
      </c>
      <c r="B744" t="s">
        <v>722</v>
      </c>
      <c r="C744" s="402">
        <v>0</v>
      </c>
      <c r="D744" s="402">
        <v>990454938</v>
      </c>
      <c r="E744" s="402">
        <v>978854628</v>
      </c>
      <c r="F744" s="402">
        <v>11600310</v>
      </c>
    </row>
    <row r="745" spans="1:6">
      <c r="A745">
        <v>46937</v>
      </c>
      <c r="B745" t="s">
        <v>723</v>
      </c>
      <c r="C745" s="402">
        <v>-27664916.010000002</v>
      </c>
      <c r="D745" s="402">
        <v>54022657.210000001</v>
      </c>
      <c r="E745" s="402">
        <v>39448282.219999999</v>
      </c>
      <c r="F745" s="402">
        <v>-13090541.02</v>
      </c>
    </row>
    <row r="746" spans="1:6">
      <c r="A746">
        <v>46940</v>
      </c>
      <c r="B746" t="s">
        <v>724</v>
      </c>
      <c r="C746" s="402">
        <v>-88689038</v>
      </c>
      <c r="D746">
        <v>0</v>
      </c>
      <c r="E746" s="402">
        <v>0</v>
      </c>
      <c r="F746" s="402">
        <v>-88689038</v>
      </c>
    </row>
    <row r="747" spans="1:6">
      <c r="A747">
        <v>46943</v>
      </c>
      <c r="B747" t="s">
        <v>725</v>
      </c>
      <c r="C747" s="402">
        <v>0</v>
      </c>
      <c r="D747">
        <v>0</v>
      </c>
      <c r="E747" s="402">
        <v>19266.990000000002</v>
      </c>
      <c r="F747" s="402">
        <v>-19266.990000000002</v>
      </c>
    </row>
    <row r="748" spans="1:6">
      <c r="A748">
        <v>46944</v>
      </c>
      <c r="B748" t="s">
        <v>726</v>
      </c>
      <c r="C748" s="402">
        <v>0</v>
      </c>
      <c r="D748" s="402">
        <v>1176202</v>
      </c>
      <c r="E748" s="402">
        <v>1176202</v>
      </c>
      <c r="F748" s="402">
        <v>0</v>
      </c>
    </row>
    <row r="749" spans="1:6">
      <c r="A749">
        <v>46945</v>
      </c>
      <c r="B749" t="s">
        <v>727</v>
      </c>
      <c r="C749" s="402">
        <v>0</v>
      </c>
      <c r="D749">
        <v>802.62</v>
      </c>
      <c r="E749" s="402">
        <v>802.62</v>
      </c>
      <c r="F749" s="402">
        <v>0</v>
      </c>
    </row>
    <row r="750" spans="1:6">
      <c r="A750">
        <v>46948</v>
      </c>
      <c r="B750" t="s">
        <v>728</v>
      </c>
      <c r="C750" s="402">
        <v>0</v>
      </c>
      <c r="D750" s="402">
        <v>42798</v>
      </c>
      <c r="E750" s="402">
        <v>42798</v>
      </c>
      <c r="F750" s="402">
        <v>0</v>
      </c>
    </row>
    <row r="751" spans="1:6">
      <c r="A751">
        <v>46950</v>
      </c>
      <c r="B751" t="s">
        <v>729</v>
      </c>
      <c r="C751" s="402">
        <v>38676.18</v>
      </c>
      <c r="D751" s="402">
        <v>109532.42</v>
      </c>
      <c r="E751" s="402">
        <v>147027.26999999999</v>
      </c>
      <c r="F751" s="402">
        <v>1181.33</v>
      </c>
    </row>
    <row r="752" spans="1:6">
      <c r="A752">
        <v>46952</v>
      </c>
      <c r="B752" t="s">
        <v>730</v>
      </c>
      <c r="C752" s="402">
        <v>-3776735.3</v>
      </c>
      <c r="D752" s="402">
        <v>16165822.35</v>
      </c>
      <c r="E752" s="402">
        <v>15121154.470000001</v>
      </c>
      <c r="F752" s="402">
        <v>-2732067.42</v>
      </c>
    </row>
    <row r="753" spans="1:6">
      <c r="A753">
        <v>46953</v>
      </c>
      <c r="B753" t="s">
        <v>731</v>
      </c>
      <c r="C753" s="402">
        <v>0</v>
      </c>
      <c r="D753">
        <v>132</v>
      </c>
      <c r="E753" s="402">
        <v>132</v>
      </c>
      <c r="F753" s="402">
        <v>0</v>
      </c>
    </row>
    <row r="754" spans="1:6">
      <c r="A754">
        <v>46954</v>
      </c>
      <c r="B754" t="s">
        <v>732</v>
      </c>
      <c r="C754" s="402">
        <v>-8598254.8000000007</v>
      </c>
      <c r="D754" s="402">
        <v>32887903</v>
      </c>
      <c r="E754" s="402">
        <v>27620358.84</v>
      </c>
      <c r="F754" s="402">
        <v>-3330710.64</v>
      </c>
    </row>
    <row r="755" spans="1:6">
      <c r="A755">
        <v>46955</v>
      </c>
      <c r="B755" t="s">
        <v>733</v>
      </c>
      <c r="C755" s="402">
        <v>-8598153.8000000007</v>
      </c>
      <c r="D755" s="402">
        <v>32835535.670000002</v>
      </c>
      <c r="E755" s="402">
        <v>27566112.91</v>
      </c>
      <c r="F755" s="402">
        <v>-3328731.04</v>
      </c>
    </row>
    <row r="756" spans="1:6">
      <c r="A756">
        <v>46956</v>
      </c>
      <c r="B756" t="s">
        <v>734</v>
      </c>
      <c r="C756" s="402">
        <v>-6329050.9800000004</v>
      </c>
      <c r="D756" s="402">
        <v>17261365.02</v>
      </c>
      <c r="E756" s="402">
        <v>11057961.300000001</v>
      </c>
      <c r="F756" s="402">
        <v>-125647.26</v>
      </c>
    </row>
    <row r="757" spans="1:6">
      <c r="A757">
        <v>46957</v>
      </c>
      <c r="B757" t="s">
        <v>735</v>
      </c>
      <c r="C757" s="402">
        <v>0</v>
      </c>
      <c r="D757" s="402">
        <v>2093.04</v>
      </c>
      <c r="E757" s="402">
        <v>2093.04</v>
      </c>
      <c r="F757" s="402">
        <v>0</v>
      </c>
    </row>
    <row r="758" spans="1:6">
      <c r="A758">
        <v>46962</v>
      </c>
      <c r="B758" t="s">
        <v>736</v>
      </c>
      <c r="C758" s="402">
        <v>0</v>
      </c>
      <c r="D758">
        <v>0</v>
      </c>
      <c r="E758" s="402">
        <v>0.57999999999999996</v>
      </c>
      <c r="F758" s="402">
        <v>-0.57999999999999996</v>
      </c>
    </row>
    <row r="759" spans="1:6">
      <c r="A759">
        <v>46963</v>
      </c>
      <c r="B759" t="s">
        <v>737</v>
      </c>
      <c r="C759" s="402">
        <v>-4996335</v>
      </c>
      <c r="D759">
        <v>0</v>
      </c>
      <c r="E759">
        <v>0</v>
      </c>
      <c r="F759" s="402">
        <v>-4996335</v>
      </c>
    </row>
    <row r="760" spans="1:6">
      <c r="A760">
        <v>46965</v>
      </c>
      <c r="B760" t="s">
        <v>738</v>
      </c>
      <c r="C760" s="402">
        <v>-400960.49</v>
      </c>
      <c r="D760" s="402">
        <v>1240509.06</v>
      </c>
      <c r="E760" s="402">
        <v>1895051.53</v>
      </c>
      <c r="F760" s="402">
        <v>-1055502.96</v>
      </c>
    </row>
    <row r="761" spans="1:6">
      <c r="A761">
        <v>46966</v>
      </c>
      <c r="B761" t="s">
        <v>739</v>
      </c>
      <c r="C761" s="402">
        <v>-400960.59</v>
      </c>
      <c r="D761" s="402">
        <v>1240509.06</v>
      </c>
      <c r="E761" s="402">
        <v>1895051.53</v>
      </c>
      <c r="F761" s="402">
        <v>-1055503.06</v>
      </c>
    </row>
    <row r="762" spans="1:6">
      <c r="A762">
        <v>46969</v>
      </c>
      <c r="B762" t="s">
        <v>740</v>
      </c>
      <c r="C762" s="402">
        <v>-1754037</v>
      </c>
      <c r="D762" s="402">
        <v>10654851</v>
      </c>
      <c r="E762" s="402">
        <v>5830691</v>
      </c>
      <c r="F762" s="402">
        <v>3070123</v>
      </c>
    </row>
    <row r="763" spans="1:6">
      <c r="A763">
        <v>46970</v>
      </c>
      <c r="B763" t="s">
        <v>741</v>
      </c>
      <c r="C763" s="402">
        <v>-468656</v>
      </c>
      <c r="D763">
        <v>0</v>
      </c>
      <c r="E763" s="402">
        <v>0</v>
      </c>
      <c r="F763" s="402">
        <v>-468656</v>
      </c>
    </row>
    <row r="764" spans="1:6">
      <c r="A764">
        <v>46975</v>
      </c>
      <c r="B764" t="s">
        <v>742</v>
      </c>
      <c r="C764" s="402">
        <v>-6878042.5</v>
      </c>
      <c r="D764" s="402">
        <v>6889953</v>
      </c>
      <c r="E764" s="402">
        <v>1158258.5</v>
      </c>
      <c r="F764" s="402">
        <v>-1146348</v>
      </c>
    </row>
    <row r="765" spans="1:6">
      <c r="A765">
        <v>46982</v>
      </c>
      <c r="B765" t="s">
        <v>743</v>
      </c>
      <c r="C765" s="402">
        <v>0</v>
      </c>
      <c r="D765" s="402">
        <v>2464</v>
      </c>
      <c r="E765" s="402">
        <v>2464</v>
      </c>
      <c r="F765" s="402">
        <v>0</v>
      </c>
    </row>
    <row r="766" spans="1:6">
      <c r="A766">
        <v>46986</v>
      </c>
      <c r="B766" t="s">
        <v>744</v>
      </c>
      <c r="C766" s="402">
        <v>-2236401000</v>
      </c>
      <c r="D766">
        <v>0</v>
      </c>
      <c r="E766" s="402">
        <v>0</v>
      </c>
      <c r="F766" s="402">
        <v>-2236401000</v>
      </c>
    </row>
    <row r="767" spans="1:6">
      <c r="A767">
        <v>46987</v>
      </c>
      <c r="B767" t="s">
        <v>1258</v>
      </c>
      <c r="C767" s="402">
        <v>0</v>
      </c>
      <c r="D767">
        <v>0</v>
      </c>
      <c r="E767" s="402">
        <v>972155307</v>
      </c>
      <c r="F767" s="402">
        <v>-972155307</v>
      </c>
    </row>
    <row r="768" spans="1:6">
      <c r="A768">
        <v>46995</v>
      </c>
      <c r="B768" t="s">
        <v>745</v>
      </c>
      <c r="C768" s="402">
        <v>-20075542</v>
      </c>
      <c r="D768" s="402">
        <v>171393027</v>
      </c>
      <c r="E768" s="402">
        <v>114262107</v>
      </c>
      <c r="F768" s="402">
        <v>37055378</v>
      </c>
    </row>
    <row r="769" spans="1:6">
      <c r="A769">
        <v>46996</v>
      </c>
      <c r="B769" t="s">
        <v>746</v>
      </c>
      <c r="C769" s="402">
        <v>-278730</v>
      </c>
      <c r="D769" s="402">
        <v>4374207</v>
      </c>
      <c r="E769" s="402">
        <v>4890363</v>
      </c>
      <c r="F769" s="402">
        <v>-794886</v>
      </c>
    </row>
    <row r="770" spans="1:6">
      <c r="A770">
        <v>47100</v>
      </c>
      <c r="B770" t="s">
        <v>201</v>
      </c>
      <c r="C770" s="402">
        <v>-55026862</v>
      </c>
      <c r="D770" s="402">
        <v>477150.1</v>
      </c>
      <c r="E770" s="402">
        <v>2883950.1</v>
      </c>
      <c r="F770" s="402">
        <v>-57433662</v>
      </c>
    </row>
    <row r="771" spans="1:6">
      <c r="A771">
        <v>47200</v>
      </c>
      <c r="B771" t="s">
        <v>202</v>
      </c>
      <c r="C771" s="402">
        <v>-17000000</v>
      </c>
      <c r="D771">
        <v>0</v>
      </c>
      <c r="E771" s="402">
        <v>0</v>
      </c>
      <c r="F771" s="402">
        <v>-17000000</v>
      </c>
    </row>
    <row r="772" spans="1:6">
      <c r="A772">
        <v>47301</v>
      </c>
      <c r="B772" t="s">
        <v>747</v>
      </c>
      <c r="C772" s="402">
        <v>-321057571.95999998</v>
      </c>
      <c r="D772" s="402">
        <v>52943836.25</v>
      </c>
      <c r="E772" s="402">
        <v>1636391500.0799999</v>
      </c>
      <c r="F772" s="402">
        <v>-1904505235.79</v>
      </c>
    </row>
    <row r="773" spans="1:6">
      <c r="A773">
        <v>47302</v>
      </c>
      <c r="B773" t="s">
        <v>748</v>
      </c>
      <c r="C773" s="402">
        <v>-4061774.27</v>
      </c>
      <c r="D773" s="402">
        <v>76300</v>
      </c>
      <c r="E773" s="402">
        <v>433897.84</v>
      </c>
      <c r="F773" s="402">
        <v>-4419372.1100000003</v>
      </c>
    </row>
    <row r="774" spans="1:6">
      <c r="A774">
        <v>47304</v>
      </c>
      <c r="B774" t="s">
        <v>749</v>
      </c>
      <c r="C774" s="402">
        <v>-76682699.640000001</v>
      </c>
      <c r="D774">
        <v>0</v>
      </c>
      <c r="E774" s="402">
        <v>0</v>
      </c>
      <c r="F774" s="402">
        <v>-76682699.640000001</v>
      </c>
    </row>
    <row r="775" spans="1:6">
      <c r="A775">
        <v>47305</v>
      </c>
      <c r="B775" t="s">
        <v>750</v>
      </c>
      <c r="C775" s="402">
        <v>0</v>
      </c>
      <c r="D775" s="402">
        <v>642600</v>
      </c>
      <c r="E775" s="402">
        <v>14858600</v>
      </c>
      <c r="F775" s="402">
        <v>-14216000</v>
      </c>
    </row>
    <row r="776" spans="1:6">
      <c r="A776">
        <v>47306</v>
      </c>
      <c r="B776" t="s">
        <v>751</v>
      </c>
      <c r="C776" s="402">
        <v>-58432000</v>
      </c>
      <c r="D776">
        <v>0</v>
      </c>
      <c r="E776" s="402">
        <v>300</v>
      </c>
      <c r="F776" s="402">
        <v>-58432300</v>
      </c>
    </row>
    <row r="777" spans="1:6">
      <c r="A777">
        <v>47310</v>
      </c>
      <c r="B777" t="s">
        <v>752</v>
      </c>
      <c r="C777" s="402">
        <v>-1817221.6</v>
      </c>
      <c r="D777" s="402">
        <v>329721.59999999998</v>
      </c>
      <c r="E777" s="402">
        <v>0</v>
      </c>
      <c r="F777" s="402">
        <v>-1487500</v>
      </c>
    </row>
    <row r="778" spans="1:6">
      <c r="A778">
        <v>47311</v>
      </c>
      <c r="B778" t="s">
        <v>753</v>
      </c>
      <c r="C778" s="402">
        <v>-909494753.67999995</v>
      </c>
      <c r="D778" s="402">
        <v>88188186.140000001</v>
      </c>
      <c r="E778" s="402">
        <v>359583775.58999997</v>
      </c>
      <c r="F778" s="402">
        <v>-1180890343.1300001</v>
      </c>
    </row>
    <row r="779" spans="1:6">
      <c r="A779">
        <v>47312</v>
      </c>
      <c r="B779" t="s">
        <v>754</v>
      </c>
      <c r="C779" s="402">
        <v>-298877630</v>
      </c>
      <c r="D779" s="402">
        <v>101510895</v>
      </c>
      <c r="E779" s="402">
        <v>425411421</v>
      </c>
      <c r="F779" s="402">
        <v>-622778156</v>
      </c>
    </row>
    <row r="780" spans="1:6">
      <c r="A780">
        <v>47313</v>
      </c>
      <c r="B780" t="s">
        <v>755</v>
      </c>
      <c r="C780" s="402">
        <v>0</v>
      </c>
      <c r="D780" s="402">
        <v>862516631.32000005</v>
      </c>
      <c r="E780" s="402">
        <v>1052049604.3200001</v>
      </c>
      <c r="F780" s="402">
        <v>-189532973</v>
      </c>
    </row>
    <row r="781" spans="1:6">
      <c r="A781">
        <v>47331</v>
      </c>
      <c r="B781" t="s">
        <v>756</v>
      </c>
      <c r="C781" s="402">
        <v>-958082630.21000004</v>
      </c>
      <c r="D781" s="402">
        <v>306723279.10000002</v>
      </c>
      <c r="E781" s="402">
        <v>489375680.75999999</v>
      </c>
      <c r="F781" s="402">
        <v>-1140735031.8699999</v>
      </c>
    </row>
    <row r="782" spans="1:6">
      <c r="A782">
        <v>47332</v>
      </c>
      <c r="B782" t="s">
        <v>757</v>
      </c>
      <c r="C782" s="402">
        <v>-62177111.229999997</v>
      </c>
      <c r="D782">
        <v>0</v>
      </c>
      <c r="E782" s="402">
        <v>0</v>
      </c>
      <c r="F782" s="402">
        <v>-62177111.229999997</v>
      </c>
    </row>
    <row r="783" spans="1:6">
      <c r="A783">
        <v>47333</v>
      </c>
      <c r="B783" t="s">
        <v>758</v>
      </c>
      <c r="C783" s="402">
        <v>-59654606.759999998</v>
      </c>
      <c r="D783">
        <v>0</v>
      </c>
      <c r="E783" s="402">
        <v>0</v>
      </c>
      <c r="F783" s="402">
        <v>-59654606.759999998</v>
      </c>
    </row>
    <row r="784" spans="1:6">
      <c r="A784">
        <v>47334</v>
      </c>
      <c r="B784" t="s">
        <v>759</v>
      </c>
      <c r="C784" s="402">
        <v>-38312075.880000003</v>
      </c>
      <c r="D784" s="402">
        <v>6288985.5</v>
      </c>
      <c r="E784" s="402">
        <v>11351228</v>
      </c>
      <c r="F784" s="402">
        <v>-43374318.380000003</v>
      </c>
    </row>
    <row r="785" spans="1:6">
      <c r="A785">
        <v>47335</v>
      </c>
      <c r="B785" t="s">
        <v>760</v>
      </c>
      <c r="C785" s="402">
        <v>-8433313</v>
      </c>
      <c r="D785" s="402">
        <v>427500</v>
      </c>
      <c r="E785" s="402">
        <v>427500</v>
      </c>
      <c r="F785" s="402">
        <v>-8433313</v>
      </c>
    </row>
    <row r="786" spans="1:6">
      <c r="A786">
        <v>47336</v>
      </c>
      <c r="B786" t="s">
        <v>761</v>
      </c>
      <c r="C786" s="402">
        <v>-28450285.59</v>
      </c>
      <c r="D786">
        <v>0</v>
      </c>
      <c r="E786" s="402">
        <v>0</v>
      </c>
      <c r="F786" s="402">
        <v>-28450285.59</v>
      </c>
    </row>
    <row r="787" spans="1:6">
      <c r="A787">
        <v>47602</v>
      </c>
      <c r="B787" t="s">
        <v>762</v>
      </c>
      <c r="C787" s="402">
        <v>-792216</v>
      </c>
      <c r="D787" s="402">
        <v>1730039</v>
      </c>
      <c r="E787" s="402">
        <v>6953848.4000000004</v>
      </c>
      <c r="F787" s="402">
        <v>-6016025.4000000004</v>
      </c>
    </row>
    <row r="788" spans="1:6">
      <c r="A788">
        <v>47605</v>
      </c>
      <c r="B788" t="s">
        <v>763</v>
      </c>
      <c r="C788" s="402">
        <v>-1357713.63</v>
      </c>
      <c r="D788" s="402">
        <v>134000</v>
      </c>
      <c r="E788" s="402">
        <v>599667</v>
      </c>
      <c r="F788" s="402">
        <v>-1823380.63</v>
      </c>
    </row>
    <row r="789" spans="1:6">
      <c r="A789">
        <v>47690</v>
      </c>
      <c r="B789" t="s">
        <v>764</v>
      </c>
      <c r="C789" s="402">
        <v>-1206552.08</v>
      </c>
      <c r="D789">
        <v>0</v>
      </c>
      <c r="E789" s="402">
        <v>0</v>
      </c>
      <c r="F789" s="402">
        <v>-1206552.08</v>
      </c>
    </row>
    <row r="790" spans="1:6">
      <c r="A790">
        <v>48100</v>
      </c>
      <c r="B790" t="s">
        <v>205</v>
      </c>
      <c r="C790" s="402">
        <v>-18365271269.369999</v>
      </c>
      <c r="D790" s="402">
        <v>509408400.07999998</v>
      </c>
      <c r="E790" s="402">
        <v>2184768530.7399998</v>
      </c>
      <c r="F790" s="402">
        <v>-20040631400.029999</v>
      </c>
    </row>
    <row r="791" spans="1:6">
      <c r="A791">
        <v>48114</v>
      </c>
      <c r="B791" t="s">
        <v>765</v>
      </c>
      <c r="C791" s="402">
        <v>-4425925154.7299995</v>
      </c>
      <c r="D791" s="402">
        <v>216594457.74000001</v>
      </c>
      <c r="E791" s="402">
        <v>1162608323.9400001</v>
      </c>
      <c r="F791" s="402">
        <v>-5371939020.9300003</v>
      </c>
    </row>
    <row r="792" spans="1:6">
      <c r="A792">
        <v>48117</v>
      </c>
      <c r="B792" t="s">
        <v>1259</v>
      </c>
      <c r="C792">
        <v>0</v>
      </c>
      <c r="D792" s="402">
        <v>0</v>
      </c>
      <c r="E792" s="402">
        <v>19479.97</v>
      </c>
      <c r="F792" s="402">
        <v>-19479.97</v>
      </c>
    </row>
    <row r="793" spans="1:6">
      <c r="A793">
        <v>48300</v>
      </c>
      <c r="B793" t="s">
        <v>766</v>
      </c>
      <c r="C793" s="402">
        <v>-759390269.91999996</v>
      </c>
      <c r="D793" s="402">
        <v>670245959.76999998</v>
      </c>
      <c r="E793" s="402">
        <v>37138040</v>
      </c>
      <c r="F793" s="402">
        <v>-126282350.15000001</v>
      </c>
    </row>
    <row r="794" spans="1:6">
      <c r="A794">
        <v>49101</v>
      </c>
      <c r="B794" t="s">
        <v>767</v>
      </c>
      <c r="C794" s="402">
        <v>-23215603</v>
      </c>
      <c r="D794" s="402">
        <v>0</v>
      </c>
      <c r="E794" s="402">
        <v>0</v>
      </c>
      <c r="F794" s="402">
        <v>-23215603</v>
      </c>
    </row>
    <row r="795" spans="1:6">
      <c r="A795">
        <v>50101</v>
      </c>
      <c r="B795" t="s">
        <v>768</v>
      </c>
      <c r="C795" s="402">
        <v>65702216.229999997</v>
      </c>
      <c r="D795" s="402">
        <v>74821783635.309998</v>
      </c>
      <c r="E795" s="402">
        <v>74805926887.570007</v>
      </c>
      <c r="F795" s="402">
        <v>81558963.969999999</v>
      </c>
    </row>
    <row r="796" spans="1:6">
      <c r="A796">
        <v>50105</v>
      </c>
      <c r="B796" t="s">
        <v>769</v>
      </c>
      <c r="C796" s="402">
        <v>7636</v>
      </c>
      <c r="D796" s="402">
        <v>322010431.04000002</v>
      </c>
      <c r="E796" s="402">
        <v>322018067.04000002</v>
      </c>
      <c r="F796">
        <v>0</v>
      </c>
    </row>
    <row r="797" spans="1:6">
      <c r="A797">
        <v>50110</v>
      </c>
      <c r="B797" t="s">
        <v>770</v>
      </c>
      <c r="C797" s="402">
        <v>1666172</v>
      </c>
      <c r="D797" s="402">
        <v>6847426996.1999998</v>
      </c>
      <c r="E797" s="402">
        <v>6840773163</v>
      </c>
      <c r="F797" s="402">
        <v>8320005.2000000002</v>
      </c>
    </row>
    <row r="798" spans="1:6">
      <c r="A798">
        <v>51265</v>
      </c>
      <c r="B798" t="s">
        <v>771</v>
      </c>
      <c r="C798" s="402">
        <v>-15819857</v>
      </c>
      <c r="D798" s="402">
        <v>0</v>
      </c>
      <c r="E798" s="402">
        <v>0</v>
      </c>
      <c r="F798" s="402">
        <v>-15819857</v>
      </c>
    </row>
    <row r="799" spans="1:6">
      <c r="A799">
        <v>51266</v>
      </c>
      <c r="B799" t="s">
        <v>772</v>
      </c>
      <c r="C799" s="402">
        <v>-13559850</v>
      </c>
      <c r="D799">
        <v>0</v>
      </c>
      <c r="E799" s="402">
        <v>0</v>
      </c>
      <c r="F799" s="402">
        <v>-13559850</v>
      </c>
    </row>
    <row r="800" spans="1:6">
      <c r="A800">
        <v>52600</v>
      </c>
      <c r="B800" t="s">
        <v>209</v>
      </c>
      <c r="C800" s="402">
        <v>-1471539</v>
      </c>
      <c r="D800" s="402">
        <v>90898</v>
      </c>
      <c r="E800">
        <v>0</v>
      </c>
      <c r="F800" s="402">
        <v>-1380641</v>
      </c>
    </row>
    <row r="801" spans="1:6">
      <c r="A801">
        <v>53401</v>
      </c>
      <c r="B801" t="s">
        <v>773</v>
      </c>
      <c r="C801" s="402">
        <v>-112841036</v>
      </c>
      <c r="D801" s="402">
        <v>0</v>
      </c>
      <c r="E801" s="402">
        <v>0</v>
      </c>
      <c r="F801" s="402">
        <v>-112841036</v>
      </c>
    </row>
    <row r="802" spans="1:6">
      <c r="A802">
        <v>53402</v>
      </c>
      <c r="B802" t="s">
        <v>774</v>
      </c>
      <c r="C802" s="402">
        <v>-96721040</v>
      </c>
      <c r="D802">
        <v>0</v>
      </c>
      <c r="E802">
        <v>0</v>
      </c>
      <c r="F802" s="402">
        <v>-96721040</v>
      </c>
    </row>
    <row r="803" spans="1:6">
      <c r="A803">
        <v>54201</v>
      </c>
      <c r="B803" t="s">
        <v>775</v>
      </c>
      <c r="C803" s="402">
        <v>-40204194</v>
      </c>
      <c r="D803">
        <v>0</v>
      </c>
      <c r="E803">
        <v>0</v>
      </c>
      <c r="F803" s="402">
        <v>-40204194</v>
      </c>
    </row>
    <row r="804" spans="1:6">
      <c r="A804">
        <v>55100</v>
      </c>
      <c r="B804" t="s">
        <v>776</v>
      </c>
      <c r="C804" s="402">
        <v>-44129729.799999997</v>
      </c>
      <c r="D804" s="402">
        <v>0</v>
      </c>
      <c r="E804" s="402">
        <v>0</v>
      </c>
      <c r="F804" s="402">
        <v>-44129729.799999997</v>
      </c>
    </row>
    <row r="805" spans="1:6">
      <c r="A805">
        <v>55103</v>
      </c>
      <c r="B805" t="s">
        <v>777</v>
      </c>
      <c r="C805" s="402">
        <v>-483407.08</v>
      </c>
      <c r="D805" s="402">
        <v>199405</v>
      </c>
      <c r="E805" s="402">
        <v>0</v>
      </c>
      <c r="F805" s="402">
        <v>-284002.08</v>
      </c>
    </row>
    <row r="806" spans="1:6">
      <c r="A806">
        <v>55203</v>
      </c>
      <c r="B806" t="s">
        <v>778</v>
      </c>
      <c r="C806" s="402">
        <v>-1436735875.75</v>
      </c>
      <c r="D806" s="402">
        <v>0</v>
      </c>
      <c r="E806" s="402">
        <v>0</v>
      </c>
      <c r="F806" s="402">
        <v>-1436735875.75</v>
      </c>
    </row>
    <row r="807" spans="1:6">
      <c r="A807">
        <v>55204</v>
      </c>
      <c r="B807" t="s">
        <v>779</v>
      </c>
      <c r="C807" s="402">
        <v>-1604550385.6900001</v>
      </c>
      <c r="D807" s="402">
        <v>0</v>
      </c>
      <c r="E807" s="402">
        <v>0</v>
      </c>
      <c r="F807" s="402">
        <v>-1604550385.6900001</v>
      </c>
    </row>
    <row r="808" spans="1:6">
      <c r="A808">
        <v>55300</v>
      </c>
      <c r="B808" t="s">
        <v>214</v>
      </c>
      <c r="C808" s="402">
        <v>-770125895.50999999</v>
      </c>
      <c r="D808" s="402">
        <v>0</v>
      </c>
      <c r="E808" s="402">
        <v>0</v>
      </c>
      <c r="F808" s="402">
        <v>-770125895.50999999</v>
      </c>
    </row>
    <row r="809" spans="1:6">
      <c r="A809">
        <v>55302</v>
      </c>
      <c r="B809" t="s">
        <v>780</v>
      </c>
      <c r="C809" s="402">
        <v>-2350618.44</v>
      </c>
      <c r="D809" s="402">
        <v>0</v>
      </c>
      <c r="E809" s="402">
        <v>0</v>
      </c>
      <c r="F809" s="402">
        <v>-2350618.44</v>
      </c>
    </row>
    <row r="810" spans="1:6">
      <c r="A810">
        <v>55308</v>
      </c>
      <c r="B810" t="s">
        <v>781</v>
      </c>
      <c r="C810" s="402">
        <v>-35412128.350000001</v>
      </c>
      <c r="D810">
        <v>0</v>
      </c>
      <c r="E810">
        <v>0</v>
      </c>
      <c r="F810" s="402">
        <v>-35412128.350000001</v>
      </c>
    </row>
    <row r="811" spans="1:6">
      <c r="A811">
        <v>55310</v>
      </c>
      <c r="B811" t="s">
        <v>782</v>
      </c>
      <c r="C811" s="402">
        <v>-1399586370</v>
      </c>
      <c r="D811">
        <v>0</v>
      </c>
      <c r="E811">
        <v>0</v>
      </c>
      <c r="F811" s="402">
        <v>-1399586370</v>
      </c>
    </row>
    <row r="812" spans="1:6">
      <c r="A812">
        <v>55500</v>
      </c>
      <c r="B812" t="s">
        <v>783</v>
      </c>
      <c r="C812" s="402">
        <v>3180360933.2199998</v>
      </c>
      <c r="D812" s="402">
        <v>0</v>
      </c>
      <c r="E812">
        <v>0</v>
      </c>
      <c r="F812" s="402">
        <v>3180360933.2199998</v>
      </c>
    </row>
    <row r="813" spans="1:6">
      <c r="A813">
        <v>55501</v>
      </c>
      <c r="B813" t="s">
        <v>784</v>
      </c>
      <c r="C813" s="402">
        <v>-12328891235.219999</v>
      </c>
      <c r="D813" s="402">
        <v>20286992.25</v>
      </c>
      <c r="E813" s="402">
        <v>150540864.19999999</v>
      </c>
      <c r="F813" s="402">
        <v>-12459145107.17</v>
      </c>
    </row>
    <row r="814" spans="1:6">
      <c r="A814">
        <v>55504</v>
      </c>
      <c r="B814" t="s">
        <v>785</v>
      </c>
      <c r="C814" s="402">
        <v>-230004843.50999999</v>
      </c>
      <c r="D814" s="402">
        <v>0</v>
      </c>
      <c r="E814" s="402">
        <v>0</v>
      </c>
      <c r="F814" s="402">
        <v>-230004843.50999999</v>
      </c>
    </row>
    <row r="815" spans="1:6">
      <c r="A815">
        <v>55505</v>
      </c>
      <c r="B815" t="s">
        <v>786</v>
      </c>
      <c r="C815" s="402">
        <v>-7724075098.6400003</v>
      </c>
      <c r="D815" s="402">
        <v>0</v>
      </c>
      <c r="E815" s="402">
        <v>0</v>
      </c>
      <c r="F815" s="402">
        <v>-7724075098.6400003</v>
      </c>
    </row>
    <row r="816" spans="1:6">
      <c r="A816">
        <v>55506</v>
      </c>
      <c r="B816" t="s">
        <v>787</v>
      </c>
      <c r="C816" s="402">
        <v>-5283465.4800000004</v>
      </c>
      <c r="D816" s="402">
        <v>0</v>
      </c>
      <c r="E816" s="402">
        <v>0</v>
      </c>
      <c r="F816" s="402">
        <v>-5283465.4800000004</v>
      </c>
    </row>
    <row r="817" spans="1:6">
      <c r="A817">
        <v>58100</v>
      </c>
      <c r="B817" t="s">
        <v>216</v>
      </c>
      <c r="C817" s="402">
        <v>-965188234.48000002</v>
      </c>
      <c r="D817" s="402">
        <v>157871745179.35999</v>
      </c>
      <c r="E817" s="402">
        <v>156906556944.88</v>
      </c>
      <c r="F817" s="402">
        <v>0</v>
      </c>
    </row>
    <row r="818" spans="1:6">
      <c r="A818">
        <v>58210</v>
      </c>
      <c r="B818" t="s">
        <v>217</v>
      </c>
      <c r="C818" s="402">
        <v>-5382403281.8500004</v>
      </c>
      <c r="D818">
        <v>0</v>
      </c>
      <c r="E818" s="402">
        <v>965188234.48000002</v>
      </c>
      <c r="F818" s="402">
        <v>-6347591516.3299999</v>
      </c>
    </row>
    <row r="819" spans="1:6">
      <c r="A819">
        <v>58212</v>
      </c>
      <c r="B819" t="s">
        <v>788</v>
      </c>
      <c r="C819" s="402">
        <v>1416902787</v>
      </c>
      <c r="D819">
        <v>0</v>
      </c>
      <c r="E819">
        <v>0</v>
      </c>
      <c r="F819" s="402">
        <v>1416902787</v>
      </c>
    </row>
    <row r="820" spans="1:6">
      <c r="A820">
        <v>59100</v>
      </c>
      <c r="B820" t="s">
        <v>789</v>
      </c>
      <c r="C820" s="402">
        <v>-4899175240</v>
      </c>
      <c r="D820">
        <v>0</v>
      </c>
      <c r="E820">
        <v>0</v>
      </c>
      <c r="F820" s="402">
        <v>-4899175240</v>
      </c>
    </row>
    <row r="821" spans="1:6">
      <c r="A821">
        <v>59110</v>
      </c>
      <c r="B821" t="s">
        <v>790</v>
      </c>
      <c r="C821">
        <v>0</v>
      </c>
      <c r="D821" s="402">
        <v>0</v>
      </c>
      <c r="E821" s="402">
        <v>2831720094</v>
      </c>
      <c r="F821" s="402">
        <v>-2831720094</v>
      </c>
    </row>
    <row r="822" spans="1:6">
      <c r="A822">
        <v>59202</v>
      </c>
      <c r="B822" t="s">
        <v>791</v>
      </c>
      <c r="C822" s="402">
        <v>-18908978967</v>
      </c>
      <c r="D822" s="402">
        <v>0</v>
      </c>
      <c r="E822" s="402">
        <v>0</v>
      </c>
      <c r="F822" s="402">
        <v>-18908978967</v>
      </c>
    </row>
    <row r="823" spans="1:6">
      <c r="A823">
        <v>61119</v>
      </c>
      <c r="B823" t="s">
        <v>1260</v>
      </c>
      <c r="C823">
        <v>0</v>
      </c>
      <c r="D823" s="402">
        <v>1118</v>
      </c>
      <c r="E823" s="402">
        <v>1118</v>
      </c>
      <c r="F823">
        <v>0</v>
      </c>
    </row>
    <row r="824" spans="1:6">
      <c r="A824">
        <v>61210</v>
      </c>
      <c r="B824" t="s">
        <v>792</v>
      </c>
      <c r="C824" s="402">
        <v>0</v>
      </c>
      <c r="D824" s="402">
        <v>2603895541.5300002</v>
      </c>
      <c r="E824" s="402">
        <v>18623154670.84</v>
      </c>
      <c r="F824" s="402">
        <v>-16019259129.309999</v>
      </c>
    </row>
    <row r="825" spans="1:6">
      <c r="A825">
        <v>61211</v>
      </c>
      <c r="B825" t="s">
        <v>793</v>
      </c>
      <c r="C825" s="402">
        <v>0</v>
      </c>
      <c r="D825" s="402">
        <v>63332672.409999996</v>
      </c>
      <c r="E825" s="402">
        <v>412375184.06999999</v>
      </c>
      <c r="F825" s="402">
        <v>-349042511.66000003</v>
      </c>
    </row>
    <row r="826" spans="1:6">
      <c r="A826">
        <v>61212</v>
      </c>
      <c r="B826" t="s">
        <v>794</v>
      </c>
      <c r="C826" s="402">
        <v>0</v>
      </c>
      <c r="D826" s="402">
        <v>1296251429.8699999</v>
      </c>
      <c r="E826" s="402">
        <v>10664754396.360001</v>
      </c>
      <c r="F826" s="402">
        <v>-9368502966.4899998</v>
      </c>
    </row>
    <row r="827" spans="1:6">
      <c r="A827">
        <v>61214</v>
      </c>
      <c r="B827" t="s">
        <v>795</v>
      </c>
      <c r="C827" s="402">
        <v>0</v>
      </c>
      <c r="D827" s="402">
        <v>831360774.88999999</v>
      </c>
      <c r="E827" s="402">
        <v>7280827024.1300001</v>
      </c>
      <c r="F827" s="402">
        <v>-6449466249.2399998</v>
      </c>
    </row>
    <row r="828" spans="1:6">
      <c r="A828">
        <v>61216</v>
      </c>
      <c r="B828" t="s">
        <v>796</v>
      </c>
      <c r="C828">
        <v>0</v>
      </c>
      <c r="D828" s="402">
        <v>95320517.260000005</v>
      </c>
      <c r="E828" s="402">
        <v>110065763.98</v>
      </c>
      <c r="F828" s="402">
        <v>-14745246.720000001</v>
      </c>
    </row>
    <row r="829" spans="1:6">
      <c r="A829">
        <v>61217</v>
      </c>
      <c r="B829" t="s">
        <v>797</v>
      </c>
      <c r="C829" s="402">
        <v>0</v>
      </c>
      <c r="D829" s="402">
        <v>216884923.47999999</v>
      </c>
      <c r="E829" s="402">
        <v>54387078.600000001</v>
      </c>
      <c r="F829" s="402">
        <v>162497844.88</v>
      </c>
    </row>
    <row r="830" spans="1:6">
      <c r="A830">
        <v>61219</v>
      </c>
      <c r="B830" t="s">
        <v>798</v>
      </c>
      <c r="C830" s="402">
        <v>0</v>
      </c>
      <c r="D830" s="402">
        <v>18522409447.139999</v>
      </c>
      <c r="E830" s="402">
        <v>2503150317.8499999</v>
      </c>
      <c r="F830" s="402">
        <v>16019259129.290001</v>
      </c>
    </row>
    <row r="831" spans="1:6">
      <c r="A831">
        <v>61220</v>
      </c>
      <c r="B831" t="s">
        <v>799</v>
      </c>
      <c r="C831">
        <v>0</v>
      </c>
      <c r="D831" s="402">
        <v>99168957.799999997</v>
      </c>
      <c r="E831" s="402">
        <v>653246950.91999996</v>
      </c>
      <c r="F831" s="402">
        <v>-554077993.12</v>
      </c>
    </row>
    <row r="832" spans="1:6">
      <c r="A832">
        <v>61221</v>
      </c>
      <c r="B832" t="s">
        <v>800</v>
      </c>
      <c r="C832" s="402">
        <v>0</v>
      </c>
      <c r="D832" s="402">
        <v>2626095.5499999998</v>
      </c>
      <c r="E832" s="402">
        <v>18066971.34</v>
      </c>
      <c r="F832" s="402">
        <v>-15440875.789999999</v>
      </c>
    </row>
    <row r="833" spans="1:6">
      <c r="A833">
        <v>61222</v>
      </c>
      <c r="B833" t="s">
        <v>801</v>
      </c>
      <c r="C833" s="402">
        <v>0</v>
      </c>
      <c r="D833" s="402">
        <v>38281133.280000001</v>
      </c>
      <c r="E833" s="402">
        <v>373959947.73000002</v>
      </c>
      <c r="F833" s="402">
        <v>-335678814.44999999</v>
      </c>
    </row>
    <row r="834" spans="1:6">
      <c r="A834">
        <v>61224</v>
      </c>
      <c r="B834" t="s">
        <v>802</v>
      </c>
      <c r="C834">
        <v>0</v>
      </c>
      <c r="D834" s="402">
        <v>25182704.359999999</v>
      </c>
      <c r="E834" s="402">
        <v>237585796.00999999</v>
      </c>
      <c r="F834" s="402">
        <v>-212403091.65000001</v>
      </c>
    </row>
    <row r="835" spans="1:6">
      <c r="A835">
        <v>61226</v>
      </c>
      <c r="B835" t="s">
        <v>803</v>
      </c>
      <c r="C835">
        <v>0</v>
      </c>
      <c r="D835" s="402">
        <v>11876964.66</v>
      </c>
      <c r="E835" s="402">
        <v>13267087.41</v>
      </c>
      <c r="F835" s="402">
        <v>-1390122.75</v>
      </c>
    </row>
    <row r="836" spans="1:6">
      <c r="A836">
        <v>61227</v>
      </c>
      <c r="B836" t="s">
        <v>804</v>
      </c>
      <c r="C836">
        <v>0</v>
      </c>
      <c r="D836" s="402">
        <v>15591711.77</v>
      </c>
      <c r="E836" s="402">
        <v>4756800.2300000004</v>
      </c>
      <c r="F836" s="402">
        <v>10834911.539999999</v>
      </c>
    </row>
    <row r="837" spans="1:6">
      <c r="A837">
        <v>61229</v>
      </c>
      <c r="B837" t="s">
        <v>805</v>
      </c>
      <c r="C837">
        <v>0</v>
      </c>
      <c r="D837" s="402">
        <v>647636602.72000003</v>
      </c>
      <c r="E837" s="402">
        <v>93558609.609999999</v>
      </c>
      <c r="F837" s="402">
        <v>554077993.11000001</v>
      </c>
    </row>
    <row r="838" spans="1:6">
      <c r="A838">
        <v>61230</v>
      </c>
      <c r="B838" t="s">
        <v>806</v>
      </c>
      <c r="C838">
        <v>0</v>
      </c>
      <c r="D838" s="402">
        <v>4107633133.4899998</v>
      </c>
      <c r="E838" s="402">
        <v>41712829545.230003</v>
      </c>
      <c r="F838" s="402">
        <v>-37605196411.739998</v>
      </c>
    </row>
    <row r="839" spans="1:6">
      <c r="A839">
        <v>61231</v>
      </c>
      <c r="B839" t="s">
        <v>807</v>
      </c>
      <c r="C839" s="402">
        <v>0</v>
      </c>
      <c r="D839" s="402">
        <v>278018821.00999999</v>
      </c>
      <c r="E839" s="402">
        <v>2828800348.3400002</v>
      </c>
      <c r="F839" s="402">
        <v>-2550781527.3299999</v>
      </c>
    </row>
    <row r="840" spans="1:6">
      <c r="A840">
        <v>61232</v>
      </c>
      <c r="B840" t="s">
        <v>808</v>
      </c>
      <c r="C840" s="402">
        <v>0</v>
      </c>
      <c r="D840" s="402">
        <v>2230433950.79</v>
      </c>
      <c r="E840" s="402">
        <v>24971500607.669998</v>
      </c>
      <c r="F840" s="402">
        <v>-22741066656.880001</v>
      </c>
    </row>
    <row r="841" spans="1:6">
      <c r="A841">
        <v>61234</v>
      </c>
      <c r="B841" t="s">
        <v>809</v>
      </c>
      <c r="C841" s="402">
        <v>0</v>
      </c>
      <c r="D841" s="402">
        <v>1097349031.25</v>
      </c>
      <c r="E841" s="402">
        <v>13447187922.120001</v>
      </c>
      <c r="F841" s="402">
        <v>-12349838890.870001</v>
      </c>
    </row>
    <row r="842" spans="1:6">
      <c r="A842">
        <v>61235</v>
      </c>
      <c r="B842" t="s">
        <v>810</v>
      </c>
      <c r="C842" s="402">
        <v>0</v>
      </c>
      <c r="D842">
        <v>0</v>
      </c>
      <c r="E842" s="402">
        <v>142737</v>
      </c>
      <c r="F842" s="402">
        <v>-142737</v>
      </c>
    </row>
    <row r="843" spans="1:6">
      <c r="A843">
        <v>61236</v>
      </c>
      <c r="B843" t="s">
        <v>811</v>
      </c>
      <c r="C843" s="402">
        <v>0</v>
      </c>
      <c r="D843" s="402">
        <v>225275698.18000001</v>
      </c>
      <c r="E843" s="402">
        <v>226087770.22</v>
      </c>
      <c r="F843" s="402">
        <v>-812072.04</v>
      </c>
    </row>
    <row r="844" spans="1:6">
      <c r="A844">
        <v>61237</v>
      </c>
      <c r="B844" t="s">
        <v>812</v>
      </c>
      <c r="C844" s="402">
        <v>0</v>
      </c>
      <c r="D844" s="402">
        <v>224783195.53999999</v>
      </c>
      <c r="E844" s="402">
        <v>187337723.08000001</v>
      </c>
      <c r="F844" s="402">
        <v>37445472.460000001</v>
      </c>
    </row>
    <row r="845" spans="1:6">
      <c r="A845">
        <v>61239</v>
      </c>
      <c r="B845" t="s">
        <v>813</v>
      </c>
      <c r="C845">
        <v>0</v>
      </c>
      <c r="D845" s="402">
        <v>41651248481.540001</v>
      </c>
      <c r="E845" s="402">
        <v>4046052069.8200002</v>
      </c>
      <c r="F845" s="402">
        <v>37605196411.720001</v>
      </c>
    </row>
    <row r="846" spans="1:6">
      <c r="A846">
        <v>61240</v>
      </c>
      <c r="B846" t="s">
        <v>814</v>
      </c>
      <c r="C846">
        <v>0</v>
      </c>
      <c r="D846" s="402">
        <v>18903602447.84</v>
      </c>
      <c r="E846" s="402">
        <v>101641281626.35001</v>
      </c>
      <c r="F846" s="402">
        <v>-82737679178.509995</v>
      </c>
    </row>
    <row r="847" spans="1:6">
      <c r="A847">
        <v>61241</v>
      </c>
      <c r="B847" t="s">
        <v>815</v>
      </c>
      <c r="C847">
        <v>0</v>
      </c>
      <c r="D847" s="402">
        <v>983955613.98000002</v>
      </c>
      <c r="E847" s="402">
        <v>10671812879.32</v>
      </c>
      <c r="F847" s="402">
        <v>-9687857265.3400002</v>
      </c>
    </row>
    <row r="848" spans="1:6">
      <c r="A848">
        <v>61242</v>
      </c>
      <c r="B848" t="s">
        <v>816</v>
      </c>
      <c r="C848">
        <v>0</v>
      </c>
      <c r="D848" s="402">
        <v>7218521733.8000002</v>
      </c>
      <c r="E848" s="402">
        <v>55988622567.370003</v>
      </c>
      <c r="F848" s="402">
        <v>-48770100833.57</v>
      </c>
    </row>
    <row r="849" spans="1:8">
      <c r="A849">
        <v>61243</v>
      </c>
      <c r="B849" t="s">
        <v>817</v>
      </c>
      <c r="C849">
        <v>0</v>
      </c>
      <c r="D849" s="402">
        <v>413640339.74000001</v>
      </c>
      <c r="E849" s="402">
        <v>3447419264.25</v>
      </c>
      <c r="F849" s="402">
        <v>-3033778924.5100002</v>
      </c>
    </row>
    <row r="850" spans="1:8">
      <c r="A850">
        <v>61244</v>
      </c>
      <c r="B850" t="s">
        <v>818</v>
      </c>
      <c r="C850">
        <v>0</v>
      </c>
      <c r="D850" s="402">
        <v>3436671244</v>
      </c>
      <c r="E850" s="402">
        <v>32799340241.060001</v>
      </c>
      <c r="F850" s="402">
        <v>-29362668997.060001</v>
      </c>
      <c r="H850" s="60">
        <v>5035.7700000000004</v>
      </c>
    </row>
    <row r="851" spans="1:8">
      <c r="A851">
        <v>61246</v>
      </c>
      <c r="B851" t="s">
        <v>819</v>
      </c>
      <c r="C851">
        <v>0</v>
      </c>
      <c r="D851" s="402">
        <v>3151109.05</v>
      </c>
      <c r="E851" s="402">
        <v>86972953.790000007</v>
      </c>
      <c r="F851" s="402">
        <v>-83821844.739999995</v>
      </c>
      <c r="H851" s="282">
        <v>1622</v>
      </c>
    </row>
    <row r="852" spans="1:8">
      <c r="A852">
        <v>61247</v>
      </c>
      <c r="B852" t="s">
        <v>820</v>
      </c>
      <c r="C852">
        <v>0</v>
      </c>
      <c r="D852" s="402">
        <v>9042025471.2000008</v>
      </c>
      <c r="E852" s="402">
        <v>1735852713.3800001</v>
      </c>
      <c r="F852" s="402">
        <v>7306172757.8199997</v>
      </c>
      <c r="H852" s="60">
        <f>+H850-H851</f>
        <v>3413.7700000000004</v>
      </c>
    </row>
    <row r="853" spans="1:8">
      <c r="A853">
        <v>61248</v>
      </c>
      <c r="B853" t="s">
        <v>821</v>
      </c>
      <c r="C853">
        <v>0</v>
      </c>
      <c r="D853" s="402">
        <v>1255299733.49</v>
      </c>
      <c r="E853" s="402">
        <v>360923804.60000002</v>
      </c>
      <c r="F853" s="402">
        <v>894375928.88999999</v>
      </c>
      <c r="H853" s="60">
        <f>+H852/3</f>
        <v>1137.9233333333334</v>
      </c>
    </row>
    <row r="854" spans="1:8">
      <c r="A854">
        <v>61249</v>
      </c>
      <c r="B854" t="s">
        <v>822</v>
      </c>
      <c r="C854">
        <v>0</v>
      </c>
      <c r="D854" s="402">
        <v>101641281626.35001</v>
      </c>
      <c r="E854" s="402">
        <v>18903602447.84</v>
      </c>
      <c r="F854" s="402">
        <v>82737679178.509995</v>
      </c>
      <c r="H854" s="60">
        <f>+F850/10^5</f>
        <v>-293626.68997060001</v>
      </c>
    </row>
    <row r="855" spans="1:8">
      <c r="A855">
        <v>61260</v>
      </c>
      <c r="B855" t="s">
        <v>823</v>
      </c>
      <c r="C855">
        <v>0</v>
      </c>
      <c r="D855" s="402">
        <v>5345679.37</v>
      </c>
      <c r="E855" s="402">
        <v>74006051.879999995</v>
      </c>
      <c r="F855" s="402">
        <v>-68660372.510000005</v>
      </c>
      <c r="H855" s="60">
        <f>+H853+H854</f>
        <v>-292488.76663726667</v>
      </c>
    </row>
    <row r="856" spans="1:8">
      <c r="A856">
        <v>61261</v>
      </c>
      <c r="B856" t="e">
        <f>-TRACTION-RAILWAYS-DEMAND CHRGS</f>
        <v>#NAME?</v>
      </c>
      <c r="C856">
        <v>0</v>
      </c>
      <c r="D856" s="402">
        <v>765000</v>
      </c>
      <c r="E856" s="402">
        <v>7172375</v>
      </c>
      <c r="F856" s="402">
        <v>-6407375</v>
      </c>
    </row>
    <row r="857" spans="1:8">
      <c r="A857">
        <v>61262</v>
      </c>
      <c r="B857" t="e">
        <f>-TRACTION-RAILWAYS-ENERGY CHRGS</f>
        <v>#NAME?</v>
      </c>
      <c r="C857">
        <v>0</v>
      </c>
      <c r="D857" s="402">
        <v>3221750</v>
      </c>
      <c r="E857" s="402">
        <v>45540840</v>
      </c>
      <c r="F857" s="402">
        <v>-42319090</v>
      </c>
    </row>
    <row r="858" spans="1:8">
      <c r="A858">
        <v>61264</v>
      </c>
      <c r="B858" t="e">
        <f>-TRACTION-RAILWAYS-FUEL COST ADJ.CHRGS</f>
        <v>#NAME?</v>
      </c>
      <c r="C858">
        <v>0</v>
      </c>
      <c r="D858" s="402">
        <v>1417570</v>
      </c>
      <c r="E858" s="402">
        <v>22809281</v>
      </c>
      <c r="F858" s="402">
        <v>-21391711</v>
      </c>
    </row>
    <row r="859" spans="1:8">
      <c r="A859">
        <v>61267</v>
      </c>
      <c r="B859" t="e">
        <f>-TRACTION-RAILWAYS-ADJ TO PAST BILLINGS</f>
        <v>#NAME?</v>
      </c>
      <c r="C859" s="402">
        <v>0</v>
      </c>
      <c r="D859" s="402">
        <v>62175</v>
      </c>
      <c r="E859" s="402">
        <v>161086.79999999999</v>
      </c>
      <c r="F859" s="402">
        <v>-98911.8</v>
      </c>
    </row>
    <row r="860" spans="1:8">
      <c r="A860">
        <v>61268</v>
      </c>
      <c r="B860" t="e">
        <f>-TTRACTION RAILWAYS-CONCESIONS</f>
        <v>#NAME?</v>
      </c>
      <c r="C860" s="402">
        <v>0</v>
      </c>
      <c r="D860" s="402">
        <v>1677530.92</v>
      </c>
      <c r="E860" s="402">
        <v>120815.63</v>
      </c>
      <c r="F860" s="402">
        <v>1556715.29</v>
      </c>
    </row>
    <row r="861" spans="1:8">
      <c r="A861">
        <v>61269</v>
      </c>
      <c r="B861" t="e">
        <f>-TRACTION-RAILWAYS-TOTAL BOARD CH.DEBIT T</f>
        <v>#NAME?</v>
      </c>
      <c r="C861" s="402">
        <v>0</v>
      </c>
      <c r="D861" s="402">
        <v>74006051.879999995</v>
      </c>
      <c r="E861" s="402">
        <v>5345679.37</v>
      </c>
      <c r="F861" s="402">
        <v>68660372.510000005</v>
      </c>
    </row>
    <row r="862" spans="1:8">
      <c r="A862">
        <v>61270</v>
      </c>
      <c r="B862" t="s">
        <v>824</v>
      </c>
      <c r="C862" s="402">
        <v>0</v>
      </c>
      <c r="D862" s="402">
        <v>157183087.55000001</v>
      </c>
      <c r="E862" s="402">
        <v>604929209.16999996</v>
      </c>
      <c r="F862" s="402">
        <v>-447746121.62</v>
      </c>
    </row>
    <row r="863" spans="1:8">
      <c r="A863">
        <v>61271</v>
      </c>
      <c r="B863" t="e">
        <f>-IRRI-AGRI-DEMAND/FIXED CHRGS</f>
        <v>#NAME?</v>
      </c>
      <c r="C863" s="402">
        <v>0</v>
      </c>
      <c r="D863" s="402">
        <v>26177526.420000002</v>
      </c>
      <c r="E863" s="402">
        <v>168722247.97</v>
      </c>
      <c r="F863" s="402">
        <v>-142544721.55000001</v>
      </c>
    </row>
    <row r="864" spans="1:8">
      <c r="A864">
        <v>61272</v>
      </c>
      <c r="B864" t="e">
        <f>-IRRIGATION-AGRICULTURAL-ENERGY CHRGS</f>
        <v>#NAME?</v>
      </c>
      <c r="C864" s="402">
        <v>0</v>
      </c>
      <c r="D864" s="402">
        <v>80547071.579999998</v>
      </c>
      <c r="E864" s="402">
        <v>399732604.43000001</v>
      </c>
      <c r="F864" s="402">
        <v>-319185532.85000002</v>
      </c>
    </row>
    <row r="865" spans="1:6">
      <c r="A865">
        <v>61276</v>
      </c>
      <c r="B865" t="s">
        <v>825</v>
      </c>
      <c r="C865" s="402">
        <v>0</v>
      </c>
      <c r="D865" s="402">
        <v>13335818.49</v>
      </c>
      <c r="E865" s="402">
        <v>12749363.52</v>
      </c>
      <c r="F865" s="402">
        <v>586454.97</v>
      </c>
    </row>
    <row r="866" spans="1:6">
      <c r="A866">
        <v>61277</v>
      </c>
      <c r="B866" t="e">
        <f>-IRRIGATION-AGRICULTURAL-ADJ.TO PAST BLNG</f>
        <v>#NAME?</v>
      </c>
      <c r="C866" s="402">
        <v>0</v>
      </c>
      <c r="D866" s="402">
        <v>18391775.93</v>
      </c>
      <c r="E866" s="402">
        <v>5346696.4400000004</v>
      </c>
      <c r="F866" s="402">
        <v>13045079.49</v>
      </c>
    </row>
    <row r="867" spans="1:6">
      <c r="A867">
        <v>61278</v>
      </c>
      <c r="B867" t="e">
        <f>-IRRIGATION-AGRICULTURAL-CONCESSIONS</f>
        <v>#NAME?</v>
      </c>
      <c r="C867" s="402">
        <v>0</v>
      </c>
      <c r="D867" s="402">
        <v>352598.31</v>
      </c>
      <c r="E867" s="402">
        <v>0</v>
      </c>
      <c r="F867" s="402">
        <v>352598.31</v>
      </c>
    </row>
    <row r="868" spans="1:6">
      <c r="A868">
        <v>61279</v>
      </c>
      <c r="B868" t="e">
        <f>-IRRI-AGRI-TOTAL BOARD CHRGS DEBIT</f>
        <v>#NAME?</v>
      </c>
      <c r="C868" s="402">
        <v>0</v>
      </c>
      <c r="D868" s="402">
        <v>586198314.04999995</v>
      </c>
      <c r="E868" s="402">
        <v>138452192.44</v>
      </c>
      <c r="F868" s="402">
        <v>447746121.61000001</v>
      </c>
    </row>
    <row r="869" spans="1:6">
      <c r="A869">
        <v>61280</v>
      </c>
      <c r="B869" t="s">
        <v>826</v>
      </c>
      <c r="C869" s="402">
        <v>0</v>
      </c>
      <c r="D869" s="402">
        <v>238321803.69</v>
      </c>
      <c r="E869" s="402">
        <v>1505882340.75</v>
      </c>
      <c r="F869" s="402">
        <v>-1267560537.0599999</v>
      </c>
    </row>
    <row r="870" spans="1:6">
      <c r="A870">
        <v>61281</v>
      </c>
      <c r="B870" t="e">
        <f>-PUB.W/W &amp; SEWERAGE PUMPS DEMAND/F.CHRG</f>
        <v>#NAME?</v>
      </c>
      <c r="C870" s="402">
        <v>0</v>
      </c>
      <c r="D870" s="402">
        <v>9305457.6899999995</v>
      </c>
      <c r="E870" s="402">
        <v>36725745.119999997</v>
      </c>
      <c r="F870" s="402">
        <v>-27420287.43</v>
      </c>
    </row>
    <row r="871" spans="1:6">
      <c r="A871">
        <v>61282</v>
      </c>
      <c r="B871" t="e">
        <f>-PUB W/W &amp; SEWERAGE PUMPS ENERGY CHRGS</f>
        <v>#NAME?</v>
      </c>
      <c r="C871" s="402">
        <v>0</v>
      </c>
      <c r="D871" s="402">
        <v>95354152.439999998</v>
      </c>
      <c r="E871" s="402">
        <v>832700925.37</v>
      </c>
      <c r="F871" s="402">
        <v>-737346772.92999995</v>
      </c>
    </row>
    <row r="872" spans="1:6">
      <c r="A872">
        <v>61283</v>
      </c>
      <c r="B872" t="e">
        <f>-PUB W/W &amp; SEWERAGE PUMPS-ADDL. CH.</f>
        <v>#NAME?</v>
      </c>
      <c r="C872" s="402">
        <v>0</v>
      </c>
      <c r="D872" s="402">
        <v>267249.96000000002</v>
      </c>
      <c r="E872" s="402">
        <v>6077132.75</v>
      </c>
      <c r="F872" s="402">
        <v>-5809882.79</v>
      </c>
    </row>
    <row r="873" spans="1:6">
      <c r="A873">
        <v>61284</v>
      </c>
      <c r="B873" t="e">
        <f>-PUB W/W &amp; SEWERAGE PUMPS F.C.ADJ.CHRGS</f>
        <v>#NAME?</v>
      </c>
      <c r="C873" s="402">
        <v>0</v>
      </c>
      <c r="D873" s="402">
        <v>62553697.189999998</v>
      </c>
      <c r="E873" s="402">
        <v>568377160.03999996</v>
      </c>
      <c r="F873" s="402">
        <v>-505823462.85000002</v>
      </c>
    </row>
    <row r="874" spans="1:6">
      <c r="A874">
        <v>61286</v>
      </c>
      <c r="B874" t="s">
        <v>827</v>
      </c>
      <c r="C874" s="402">
        <v>0</v>
      </c>
      <c r="D874" s="402">
        <v>19223259.710000001</v>
      </c>
      <c r="E874" s="402">
        <v>24955157.609999999</v>
      </c>
      <c r="F874" s="402">
        <v>-5731897.9000000004</v>
      </c>
    </row>
    <row r="875" spans="1:6">
      <c r="A875">
        <v>61287</v>
      </c>
      <c r="B875" t="e">
        <f>-PUB W/W &amp; PUMPS-ADJ.TO PAST BILLINGS</f>
        <v>#NAME?</v>
      </c>
      <c r="C875" s="402">
        <v>0</v>
      </c>
      <c r="D875" s="402">
        <v>43978881.890000001</v>
      </c>
      <c r="E875" s="402">
        <v>25566068.670000002</v>
      </c>
      <c r="F875" s="402">
        <v>18412813.219999999</v>
      </c>
    </row>
    <row r="876" spans="1:6">
      <c r="A876">
        <v>61288</v>
      </c>
      <c r="B876" t="s">
        <v>828</v>
      </c>
      <c r="C876" s="402">
        <v>0</v>
      </c>
      <c r="D876" s="402">
        <v>1150975.5900000001</v>
      </c>
      <c r="E876" s="402">
        <v>167261.6</v>
      </c>
      <c r="F876" s="402">
        <v>983713.99</v>
      </c>
    </row>
    <row r="877" spans="1:6">
      <c r="A877">
        <v>61289</v>
      </c>
      <c r="B877" t="e">
        <f>-PUB W/W &amp; S-PUMPS T.BORD CHRGS DIBIT</f>
        <v>#NAME?</v>
      </c>
      <c r="C877" s="402">
        <v>0</v>
      </c>
      <c r="D877" s="402">
        <v>1487445217.4000001</v>
      </c>
      <c r="E877" s="402">
        <v>219884680.34</v>
      </c>
      <c r="F877" s="402">
        <v>1267560537.0599999</v>
      </c>
    </row>
    <row r="878" spans="1:6">
      <c r="A878">
        <v>61501</v>
      </c>
      <c r="B878" t="s">
        <v>829</v>
      </c>
      <c r="C878" s="402">
        <v>0</v>
      </c>
      <c r="D878" s="402">
        <v>0</v>
      </c>
      <c r="E878" s="402">
        <v>2394592858.0700002</v>
      </c>
      <c r="F878" s="402">
        <v>-2394592858.0700002</v>
      </c>
    </row>
    <row r="879" spans="1:6">
      <c r="A879">
        <v>61502</v>
      </c>
      <c r="B879" t="s">
        <v>830</v>
      </c>
      <c r="C879" s="402">
        <v>0</v>
      </c>
      <c r="D879" s="402">
        <v>0</v>
      </c>
      <c r="E879" s="402">
        <v>37810226.18</v>
      </c>
      <c r="F879" s="402">
        <v>-37810226.18</v>
      </c>
    </row>
    <row r="880" spans="1:6">
      <c r="A880">
        <v>61503</v>
      </c>
      <c r="B880" t="s">
        <v>831</v>
      </c>
      <c r="C880" s="402">
        <v>0</v>
      </c>
      <c r="D880">
        <v>0</v>
      </c>
      <c r="E880" s="402">
        <v>4351280585.3999996</v>
      </c>
      <c r="F880" s="402">
        <v>-4351280585.3999996</v>
      </c>
    </row>
    <row r="881" spans="1:6">
      <c r="A881">
        <v>61504</v>
      </c>
      <c r="B881" t="s">
        <v>832</v>
      </c>
      <c r="C881" s="402">
        <v>0</v>
      </c>
      <c r="D881" s="402">
        <v>1753231417.1900001</v>
      </c>
      <c r="E881" s="402">
        <v>13011867191.540001</v>
      </c>
      <c r="F881" s="402">
        <v>-11258635774.35</v>
      </c>
    </row>
    <row r="882" spans="1:6">
      <c r="A882">
        <v>61507</v>
      </c>
      <c r="B882" t="s">
        <v>833</v>
      </c>
      <c r="C882" s="402">
        <v>0</v>
      </c>
      <c r="D882">
        <v>0</v>
      </c>
      <c r="E882" s="402">
        <v>18997.34</v>
      </c>
      <c r="F882" s="402">
        <v>-18997.34</v>
      </c>
    </row>
    <row r="883" spans="1:6">
      <c r="A883">
        <v>61508</v>
      </c>
      <c r="B883" t="s">
        <v>834</v>
      </c>
      <c r="C883" s="402">
        <v>0</v>
      </c>
      <c r="D883" s="402">
        <v>18927.509999999998</v>
      </c>
      <c r="E883" s="402">
        <v>45813735.960000001</v>
      </c>
      <c r="F883" s="402">
        <v>-45794808.450000003</v>
      </c>
    </row>
    <row r="884" spans="1:6">
      <c r="A884">
        <v>61516</v>
      </c>
      <c r="B884" t="s">
        <v>835</v>
      </c>
      <c r="C884" s="402">
        <v>0</v>
      </c>
      <c r="D884" s="402">
        <v>23105.15</v>
      </c>
      <c r="E884" s="402">
        <v>10513592.810000001</v>
      </c>
      <c r="F884" s="402">
        <v>-10490487.66</v>
      </c>
    </row>
    <row r="885" spans="1:6">
      <c r="A885">
        <v>61518</v>
      </c>
      <c r="B885" t="s">
        <v>836</v>
      </c>
      <c r="C885" s="402">
        <v>0</v>
      </c>
      <c r="D885" s="402">
        <v>0</v>
      </c>
      <c r="E885" s="402">
        <v>11642367.640000001</v>
      </c>
      <c r="F885" s="402">
        <v>-11642367.640000001</v>
      </c>
    </row>
    <row r="886" spans="1:6">
      <c r="A886">
        <v>61541</v>
      </c>
      <c r="B886" t="s">
        <v>837</v>
      </c>
      <c r="C886">
        <v>0</v>
      </c>
      <c r="D886" s="402">
        <v>19863505849.470001</v>
      </c>
      <c r="E886" s="402">
        <v>1753239744.3800001</v>
      </c>
      <c r="F886" s="402">
        <v>18110266105.09</v>
      </c>
    </row>
    <row r="887" spans="1:6">
      <c r="A887">
        <v>61600</v>
      </c>
      <c r="B887" t="s">
        <v>838</v>
      </c>
      <c r="C887">
        <v>0</v>
      </c>
      <c r="D887" s="402">
        <v>85630.35</v>
      </c>
      <c r="E887" s="402">
        <v>127535.51</v>
      </c>
      <c r="F887" s="402">
        <v>-41905.160000000003</v>
      </c>
    </row>
    <row r="888" spans="1:6">
      <c r="A888">
        <v>61619</v>
      </c>
      <c r="B888" t="s">
        <v>108</v>
      </c>
      <c r="C888" s="402">
        <v>0</v>
      </c>
      <c r="D888" s="402">
        <v>0</v>
      </c>
      <c r="E888" s="402">
        <v>2940</v>
      </c>
      <c r="F888" s="402">
        <v>-2940</v>
      </c>
    </row>
    <row r="889" spans="1:6">
      <c r="A889">
        <v>61700</v>
      </c>
      <c r="B889" t="s">
        <v>839</v>
      </c>
      <c r="C889" s="402">
        <v>0</v>
      </c>
      <c r="D889" s="402">
        <v>46373477.479999997</v>
      </c>
      <c r="E889" s="402">
        <v>234735558.59</v>
      </c>
      <c r="F889" s="402">
        <v>-188362081.11000001</v>
      </c>
    </row>
    <row r="890" spans="1:6">
      <c r="A890">
        <v>61802</v>
      </c>
      <c r="B890" t="s">
        <v>840</v>
      </c>
      <c r="C890">
        <v>0</v>
      </c>
      <c r="D890" s="402">
        <v>0</v>
      </c>
      <c r="E890" s="402">
        <v>10673530.640000001</v>
      </c>
      <c r="F890" s="402">
        <v>-10673530.640000001</v>
      </c>
    </row>
    <row r="891" spans="1:6">
      <c r="A891">
        <v>61901</v>
      </c>
      <c r="B891" t="s">
        <v>841</v>
      </c>
      <c r="C891">
        <v>0</v>
      </c>
      <c r="D891" s="402">
        <v>0</v>
      </c>
      <c r="E891" s="402">
        <v>15300</v>
      </c>
      <c r="F891" s="402">
        <v>-15300</v>
      </c>
    </row>
    <row r="892" spans="1:6">
      <c r="A892">
        <v>61902</v>
      </c>
      <c r="B892" t="s">
        <v>842</v>
      </c>
      <c r="C892" s="402">
        <v>0</v>
      </c>
      <c r="D892" s="402">
        <v>495398</v>
      </c>
      <c r="E892" s="402">
        <v>22989214</v>
      </c>
      <c r="F892" s="402">
        <v>-22493816</v>
      </c>
    </row>
    <row r="893" spans="1:6">
      <c r="A893">
        <v>61904</v>
      </c>
      <c r="B893" t="s">
        <v>843</v>
      </c>
      <c r="C893" s="402">
        <v>0</v>
      </c>
      <c r="D893" s="402">
        <v>9589183.8900000006</v>
      </c>
      <c r="E893" s="402">
        <v>67266572.900000006</v>
      </c>
      <c r="F893" s="402">
        <v>-57677389.009999998</v>
      </c>
    </row>
    <row r="894" spans="1:6">
      <c r="A894">
        <v>61905</v>
      </c>
      <c r="B894" t="s">
        <v>844</v>
      </c>
      <c r="C894">
        <v>0</v>
      </c>
      <c r="D894" s="402">
        <v>4715885704.9700003</v>
      </c>
      <c r="E894" s="402">
        <v>4753352306.2700005</v>
      </c>
      <c r="F894" s="402">
        <v>-37466601.299999997</v>
      </c>
    </row>
    <row r="895" spans="1:6">
      <c r="A895">
        <v>61910</v>
      </c>
      <c r="B895" t="s">
        <v>845</v>
      </c>
      <c r="C895">
        <v>0</v>
      </c>
      <c r="D895" s="402">
        <v>3000</v>
      </c>
      <c r="E895" s="402">
        <v>3786245.76</v>
      </c>
      <c r="F895" s="402">
        <v>-3783245.76</v>
      </c>
    </row>
    <row r="896" spans="1:6">
      <c r="A896">
        <v>61911</v>
      </c>
      <c r="B896" t="s">
        <v>846</v>
      </c>
      <c r="C896">
        <v>0</v>
      </c>
      <c r="D896" s="402">
        <v>0</v>
      </c>
      <c r="E896" s="402">
        <v>663996</v>
      </c>
      <c r="F896" s="402">
        <v>-663996</v>
      </c>
    </row>
    <row r="897" spans="1:9">
      <c r="A897">
        <v>61914</v>
      </c>
      <c r="B897" t="s">
        <v>847</v>
      </c>
      <c r="C897">
        <v>0</v>
      </c>
      <c r="D897" s="402">
        <v>590</v>
      </c>
      <c r="E897" s="402">
        <v>37600</v>
      </c>
      <c r="F897" s="402">
        <v>-37010</v>
      </c>
    </row>
    <row r="898" spans="1:9">
      <c r="A898">
        <v>61915</v>
      </c>
      <c r="B898" t="s">
        <v>848</v>
      </c>
      <c r="C898">
        <v>0</v>
      </c>
      <c r="D898" s="402">
        <v>555113.80000000005</v>
      </c>
      <c r="E898" s="402">
        <v>14863984</v>
      </c>
      <c r="F898" s="402">
        <v>-14308870.199999999</v>
      </c>
    </row>
    <row r="899" spans="1:9">
      <c r="A899">
        <v>61916</v>
      </c>
      <c r="B899" t="s">
        <v>849</v>
      </c>
      <c r="C899">
        <v>0</v>
      </c>
      <c r="D899" s="402">
        <v>112500</v>
      </c>
      <c r="E899" s="402">
        <v>2745516.3</v>
      </c>
      <c r="F899" s="402">
        <v>-2633016.2999999998</v>
      </c>
    </row>
    <row r="900" spans="1:9">
      <c r="A900">
        <v>61917</v>
      </c>
      <c r="B900" t="s">
        <v>850</v>
      </c>
      <c r="C900" s="402">
        <v>0</v>
      </c>
      <c r="D900" s="402">
        <v>0</v>
      </c>
      <c r="E900" s="402">
        <v>23750</v>
      </c>
      <c r="F900" s="402">
        <v>-23750</v>
      </c>
    </row>
    <row r="901" spans="1:9">
      <c r="A901">
        <v>61918</v>
      </c>
      <c r="B901" t="s">
        <v>851</v>
      </c>
      <c r="C901" s="402">
        <v>0</v>
      </c>
      <c r="D901" s="402">
        <v>98522641.120000005</v>
      </c>
      <c r="E901" s="402">
        <v>45298065.25</v>
      </c>
      <c r="F901" s="402">
        <v>53224575.869999997</v>
      </c>
    </row>
    <row r="902" spans="1:9">
      <c r="A902">
        <v>61919</v>
      </c>
      <c r="B902" t="s">
        <v>852</v>
      </c>
      <c r="C902">
        <v>0</v>
      </c>
      <c r="D902" s="402">
        <v>156409530.69</v>
      </c>
      <c r="E902" s="402">
        <v>345061904</v>
      </c>
      <c r="F902" s="402">
        <v>-188652373.31</v>
      </c>
    </row>
    <row r="903" spans="1:9">
      <c r="A903">
        <v>61920</v>
      </c>
      <c r="B903" t="s">
        <v>853</v>
      </c>
      <c r="C903">
        <v>0</v>
      </c>
      <c r="D903" s="402">
        <v>12634.6</v>
      </c>
      <c r="E903" s="402">
        <v>3552302.52</v>
      </c>
      <c r="F903" s="402">
        <v>-3539667.92</v>
      </c>
    </row>
    <row r="904" spans="1:9">
      <c r="A904">
        <v>61924</v>
      </c>
      <c r="B904" t="s">
        <v>854</v>
      </c>
      <c r="C904" s="402">
        <v>0</v>
      </c>
      <c r="D904" s="402">
        <v>471123.22</v>
      </c>
      <c r="E904" s="402">
        <v>3937443008.8800001</v>
      </c>
      <c r="F904" s="402">
        <v>-3936971885.6599998</v>
      </c>
      <c r="G904" s="404">
        <f>+F904+F905</f>
        <v>-4818520867.2199993</v>
      </c>
      <c r="H904" s="60">
        <f>+G904/10^7</f>
        <v>-481.85208672199991</v>
      </c>
    </row>
    <row r="905" spans="1:9">
      <c r="A905">
        <v>61925</v>
      </c>
      <c r="B905" t="s">
        <v>855</v>
      </c>
      <c r="C905" s="402">
        <v>0</v>
      </c>
      <c r="D905" s="402">
        <v>219645.29</v>
      </c>
      <c r="E905" s="402">
        <v>881768626.85000002</v>
      </c>
      <c r="F905" s="402">
        <v>-881548981.55999994</v>
      </c>
      <c r="H905" s="60">
        <v>464.87</v>
      </c>
      <c r="I905" s="491" t="s">
        <v>1354</v>
      </c>
    </row>
    <row r="906" spans="1:9">
      <c r="A906">
        <v>61937</v>
      </c>
      <c r="B906" t="s">
        <v>856</v>
      </c>
      <c r="C906" s="402">
        <v>0</v>
      </c>
      <c r="D906" s="402">
        <v>172014.8</v>
      </c>
      <c r="E906" s="402">
        <v>23129238.800000001</v>
      </c>
      <c r="F906" s="402">
        <v>-22957224</v>
      </c>
      <c r="H906" s="60">
        <f>+H904+H905</f>
        <v>-16.982086721999906</v>
      </c>
      <c r="I906" s="491" t="s">
        <v>1356</v>
      </c>
    </row>
    <row r="907" spans="1:9">
      <c r="A907">
        <v>61938</v>
      </c>
      <c r="B907" t="s">
        <v>857</v>
      </c>
      <c r="C907" s="402">
        <v>0</v>
      </c>
      <c r="D907" s="402">
        <v>4249927.91</v>
      </c>
      <c r="E907" s="402">
        <v>1783013.46</v>
      </c>
      <c r="F907" s="402">
        <v>2466914.4500000002</v>
      </c>
      <c r="H907" s="60">
        <v>40.450000000000003</v>
      </c>
      <c r="I907" s="491" t="s">
        <v>1355</v>
      </c>
    </row>
    <row r="908" spans="1:9">
      <c r="A908">
        <v>61939</v>
      </c>
      <c r="B908" t="s">
        <v>858</v>
      </c>
      <c r="C908" s="402">
        <v>0</v>
      </c>
      <c r="D908" s="402">
        <v>139020.32</v>
      </c>
      <c r="E908" s="402">
        <v>11357169.07</v>
      </c>
      <c r="F908" s="402">
        <v>-11218148.75</v>
      </c>
      <c r="H908" s="404">
        <f>+H906+H907</f>
        <v>23.467913278000097</v>
      </c>
      <c r="I908" s="491" t="s">
        <v>1074</v>
      </c>
    </row>
    <row r="909" spans="1:9">
      <c r="A909">
        <v>61941</v>
      </c>
      <c r="B909" t="s">
        <v>859</v>
      </c>
      <c r="C909" s="402">
        <v>0</v>
      </c>
      <c r="D909" s="402">
        <v>100000</v>
      </c>
      <c r="E909" s="402">
        <v>630000</v>
      </c>
      <c r="F909" s="402">
        <v>-530000</v>
      </c>
      <c r="H909" s="60">
        <v>10</v>
      </c>
      <c r="I909" s="491" t="s">
        <v>1357</v>
      </c>
    </row>
    <row r="910" spans="1:9">
      <c r="A910">
        <v>61942</v>
      </c>
      <c r="B910" t="s">
        <v>860</v>
      </c>
      <c r="C910" s="402">
        <v>0</v>
      </c>
      <c r="D910" s="402">
        <v>2250000</v>
      </c>
      <c r="E910" s="402">
        <v>0</v>
      </c>
      <c r="F910" s="402">
        <v>2250000</v>
      </c>
      <c r="H910" s="404">
        <f>+H908+H909</f>
        <v>33.467913278000097</v>
      </c>
    </row>
    <row r="911" spans="1:9">
      <c r="A911">
        <v>61951</v>
      </c>
      <c r="B911" t="s">
        <v>1261</v>
      </c>
      <c r="C911" s="402">
        <v>0</v>
      </c>
      <c r="D911" s="402">
        <v>220</v>
      </c>
      <c r="E911" s="402">
        <v>1422</v>
      </c>
      <c r="F911" s="402">
        <v>-1202</v>
      </c>
    </row>
    <row r="912" spans="1:9">
      <c r="A912">
        <v>61953</v>
      </c>
      <c r="B912" t="s">
        <v>1262</v>
      </c>
      <c r="C912" s="402">
        <v>0</v>
      </c>
      <c r="D912" s="402">
        <v>24000</v>
      </c>
      <c r="E912" s="402">
        <v>70650</v>
      </c>
      <c r="F912" s="402">
        <v>-46650</v>
      </c>
    </row>
    <row r="913" spans="1:6">
      <c r="A913">
        <v>61954</v>
      </c>
      <c r="B913" t="s">
        <v>1263</v>
      </c>
      <c r="C913" s="402">
        <v>0</v>
      </c>
      <c r="D913">
        <v>0</v>
      </c>
      <c r="E913" s="402">
        <v>18000</v>
      </c>
      <c r="F913" s="402">
        <v>-18000</v>
      </c>
    </row>
    <row r="914" spans="1:6">
      <c r="A914">
        <v>61956</v>
      </c>
      <c r="B914" t="s">
        <v>1264</v>
      </c>
      <c r="C914" s="402">
        <v>0</v>
      </c>
      <c r="D914">
        <v>0</v>
      </c>
      <c r="E914" s="402">
        <v>4100</v>
      </c>
      <c r="F914" s="402">
        <v>-4100</v>
      </c>
    </row>
    <row r="915" spans="1:6">
      <c r="A915">
        <v>61957</v>
      </c>
      <c r="B915" t="s">
        <v>1265</v>
      </c>
      <c r="C915" s="402">
        <v>0</v>
      </c>
      <c r="D915" s="402">
        <v>0</v>
      </c>
      <c r="E915" s="402">
        <v>36000</v>
      </c>
      <c r="F915" s="402">
        <v>-36000</v>
      </c>
    </row>
    <row r="916" spans="1:6">
      <c r="A916">
        <v>61959</v>
      </c>
      <c r="B916" t="s">
        <v>1266</v>
      </c>
      <c r="C916" s="402">
        <v>0</v>
      </c>
      <c r="D916" s="402">
        <v>0</v>
      </c>
      <c r="E916" s="402">
        <v>1500</v>
      </c>
      <c r="F916" s="402">
        <v>-1500</v>
      </c>
    </row>
    <row r="917" spans="1:6">
      <c r="A917">
        <v>61961</v>
      </c>
      <c r="B917" t="s">
        <v>1267</v>
      </c>
      <c r="C917">
        <v>0</v>
      </c>
      <c r="D917" s="402">
        <v>0</v>
      </c>
      <c r="E917" s="402">
        <v>1080</v>
      </c>
      <c r="F917" s="402">
        <v>-1080</v>
      </c>
    </row>
    <row r="918" spans="1:6">
      <c r="A918">
        <v>62211</v>
      </c>
      <c r="B918" t="s">
        <v>861</v>
      </c>
      <c r="C918">
        <v>0</v>
      </c>
      <c r="D918" s="402">
        <v>79080</v>
      </c>
      <c r="E918" s="402">
        <v>21189</v>
      </c>
      <c r="F918" s="402">
        <v>57891</v>
      </c>
    </row>
    <row r="919" spans="1:6">
      <c r="A919">
        <v>62212</v>
      </c>
      <c r="B919" t="s">
        <v>862</v>
      </c>
      <c r="C919" s="402">
        <v>0</v>
      </c>
      <c r="D919" s="402">
        <v>59178</v>
      </c>
      <c r="E919" s="402">
        <v>24458.36</v>
      </c>
      <c r="F919" s="402">
        <v>34719.64</v>
      </c>
    </row>
    <row r="920" spans="1:6">
      <c r="A920">
        <v>62222</v>
      </c>
      <c r="B920" t="s">
        <v>1268</v>
      </c>
      <c r="C920">
        <v>0</v>
      </c>
      <c r="D920" s="402">
        <v>0</v>
      </c>
      <c r="E920" s="402">
        <v>3</v>
      </c>
      <c r="F920" s="402">
        <v>-3</v>
      </c>
    </row>
    <row r="921" spans="1:6">
      <c r="A921">
        <v>62271</v>
      </c>
      <c r="B921" t="s">
        <v>863</v>
      </c>
      <c r="C921" s="402">
        <v>0</v>
      </c>
      <c r="D921" s="402">
        <v>2926054.55</v>
      </c>
      <c r="E921" s="402">
        <v>264084889.40000001</v>
      </c>
      <c r="F921" s="402">
        <v>-261158834.84999999</v>
      </c>
    </row>
    <row r="922" spans="1:6">
      <c r="A922">
        <v>62272</v>
      </c>
      <c r="B922" t="s">
        <v>1269</v>
      </c>
      <c r="C922" s="402">
        <v>0</v>
      </c>
      <c r="D922" s="402">
        <v>120742.49</v>
      </c>
      <c r="E922" s="402">
        <v>120742.49</v>
      </c>
      <c r="F922" s="402">
        <v>0</v>
      </c>
    </row>
    <row r="923" spans="1:6">
      <c r="A923">
        <v>62273</v>
      </c>
      <c r="B923" t="s">
        <v>864</v>
      </c>
      <c r="C923" s="402">
        <v>0</v>
      </c>
      <c r="D923" s="402">
        <v>0</v>
      </c>
      <c r="E923" s="402">
        <v>29747.7</v>
      </c>
      <c r="F923" s="402">
        <v>-29747.7</v>
      </c>
    </row>
    <row r="924" spans="1:6">
      <c r="A924">
        <v>62278</v>
      </c>
      <c r="B924" t="s">
        <v>865</v>
      </c>
      <c r="C924" s="402">
        <v>0</v>
      </c>
      <c r="D924" s="402">
        <v>18961.77</v>
      </c>
      <c r="E924" s="402">
        <v>33619809.399999999</v>
      </c>
      <c r="F924" s="402">
        <v>-33600847.630000003</v>
      </c>
    </row>
    <row r="925" spans="1:6">
      <c r="A925">
        <v>62279</v>
      </c>
      <c r="B925" t="s">
        <v>866</v>
      </c>
      <c r="C925" s="402">
        <v>0</v>
      </c>
      <c r="D925" s="402">
        <v>0</v>
      </c>
      <c r="E925" s="402">
        <v>526418.1</v>
      </c>
      <c r="F925" s="402">
        <v>-526418.1</v>
      </c>
    </row>
    <row r="926" spans="1:6">
      <c r="A926">
        <v>62281</v>
      </c>
      <c r="B926" t="s">
        <v>867</v>
      </c>
      <c r="C926" s="402">
        <v>0</v>
      </c>
      <c r="D926" s="402">
        <v>13391560.890000001</v>
      </c>
      <c r="E926" s="402">
        <v>113000832.48</v>
      </c>
      <c r="F926" s="402">
        <v>-99609271.590000004</v>
      </c>
    </row>
    <row r="927" spans="1:6">
      <c r="A927">
        <v>62282</v>
      </c>
      <c r="B927" t="s">
        <v>868</v>
      </c>
      <c r="C927" s="402">
        <v>0</v>
      </c>
      <c r="D927" s="402">
        <v>570854.54</v>
      </c>
      <c r="E927" s="402">
        <v>3943773.6</v>
      </c>
      <c r="F927" s="402">
        <v>-3372919.06</v>
      </c>
    </row>
    <row r="928" spans="1:6">
      <c r="A928">
        <v>62283</v>
      </c>
      <c r="B928" t="s">
        <v>869</v>
      </c>
      <c r="C928">
        <v>0</v>
      </c>
      <c r="D928" s="402">
        <v>7868354.5999999996</v>
      </c>
      <c r="E928" s="402">
        <v>81973157.950000003</v>
      </c>
      <c r="F928" s="402">
        <v>-74104803.349999994</v>
      </c>
    </row>
    <row r="929" spans="1:6">
      <c r="A929">
        <v>62285</v>
      </c>
      <c r="B929" t="s">
        <v>870</v>
      </c>
      <c r="C929">
        <v>0</v>
      </c>
      <c r="D929" s="402">
        <v>5188586.5199999996</v>
      </c>
      <c r="E929" s="402">
        <v>15165589.380000001</v>
      </c>
      <c r="F929" s="402">
        <v>-9977002.8599999994</v>
      </c>
    </row>
    <row r="930" spans="1:6">
      <c r="A930">
        <v>62286</v>
      </c>
      <c r="B930" t="s">
        <v>871</v>
      </c>
      <c r="C930">
        <v>0</v>
      </c>
      <c r="D930" s="402">
        <v>608881.82999999996</v>
      </c>
      <c r="E930" s="402">
        <v>5570754.2999999998</v>
      </c>
      <c r="F930" s="402">
        <v>-4961872.47</v>
      </c>
    </row>
    <row r="931" spans="1:6">
      <c r="A931">
        <v>62287</v>
      </c>
      <c r="B931" t="s">
        <v>872</v>
      </c>
      <c r="C931" s="402">
        <v>0</v>
      </c>
      <c r="D931" s="402">
        <v>8583561.6699999999</v>
      </c>
      <c r="E931" s="402">
        <v>29704277.899999999</v>
      </c>
      <c r="F931" s="402">
        <v>-21120716.23</v>
      </c>
    </row>
    <row r="932" spans="1:6">
      <c r="A932">
        <v>62288</v>
      </c>
      <c r="B932" t="s">
        <v>873</v>
      </c>
      <c r="C932" s="402">
        <v>0</v>
      </c>
      <c r="D932" s="402">
        <v>188077.03</v>
      </c>
      <c r="E932" s="402">
        <v>865747.72</v>
      </c>
      <c r="F932" s="402">
        <v>-677670.69</v>
      </c>
    </row>
    <row r="933" spans="1:6">
      <c r="A933">
        <v>62340</v>
      </c>
      <c r="B933" t="s">
        <v>874</v>
      </c>
      <c r="C933" s="402">
        <v>0</v>
      </c>
      <c r="D933" s="402">
        <v>50563805.899999999</v>
      </c>
      <c r="E933" s="402">
        <v>112491926</v>
      </c>
      <c r="F933" s="402">
        <v>-61928120.100000001</v>
      </c>
    </row>
    <row r="934" spans="1:6">
      <c r="A934">
        <v>62400</v>
      </c>
      <c r="B934" t="s">
        <v>227</v>
      </c>
      <c r="C934">
        <v>0</v>
      </c>
      <c r="D934" s="402">
        <v>309365.82</v>
      </c>
      <c r="E934" s="402">
        <v>309365.82</v>
      </c>
      <c r="F934" s="402">
        <v>0</v>
      </c>
    </row>
    <row r="935" spans="1:6">
      <c r="A935">
        <v>62650</v>
      </c>
      <c r="B935" t="s">
        <v>108</v>
      </c>
      <c r="C935">
        <v>0</v>
      </c>
      <c r="D935" s="402">
        <v>0.28000000000000003</v>
      </c>
      <c r="E935">
        <v>0.28000000000000003</v>
      </c>
      <c r="F935" s="402">
        <v>0</v>
      </c>
    </row>
    <row r="936" spans="1:6">
      <c r="A936">
        <v>62901</v>
      </c>
      <c r="B936" t="s">
        <v>875</v>
      </c>
      <c r="C936">
        <v>0</v>
      </c>
      <c r="D936" s="402">
        <v>4134.49</v>
      </c>
      <c r="E936" s="402">
        <v>79860.84</v>
      </c>
      <c r="F936" s="402">
        <v>-75726.350000000006</v>
      </c>
    </row>
    <row r="937" spans="1:6">
      <c r="A937">
        <v>62903</v>
      </c>
      <c r="B937" t="s">
        <v>876</v>
      </c>
      <c r="C937" s="402">
        <v>0</v>
      </c>
      <c r="D937">
        <v>0</v>
      </c>
      <c r="E937" s="402">
        <v>10230</v>
      </c>
      <c r="F937" s="402">
        <v>-10230</v>
      </c>
    </row>
    <row r="938" spans="1:6">
      <c r="A938">
        <v>62905</v>
      </c>
      <c r="B938" t="s">
        <v>1270</v>
      </c>
      <c r="C938" s="402">
        <v>0</v>
      </c>
      <c r="D938">
        <v>0.49</v>
      </c>
      <c r="E938">
        <v>0.49</v>
      </c>
      <c r="F938" s="402">
        <v>0</v>
      </c>
    </row>
    <row r="939" spans="1:6">
      <c r="A939">
        <v>62907</v>
      </c>
      <c r="B939" t="s">
        <v>877</v>
      </c>
      <c r="C939" s="402">
        <v>0</v>
      </c>
      <c r="D939" s="402">
        <v>1060</v>
      </c>
      <c r="E939" s="402">
        <v>54423.93</v>
      </c>
      <c r="F939" s="402">
        <v>-53363.93</v>
      </c>
    </row>
    <row r="940" spans="1:6">
      <c r="A940">
        <v>62910</v>
      </c>
      <c r="B940" t="s">
        <v>878</v>
      </c>
      <c r="C940" s="402">
        <v>0</v>
      </c>
      <c r="D940">
        <v>0</v>
      </c>
      <c r="E940" s="402">
        <v>91818.79</v>
      </c>
      <c r="F940" s="402">
        <v>-91818.79</v>
      </c>
    </row>
    <row r="941" spans="1:6">
      <c r="A941">
        <v>62917</v>
      </c>
      <c r="B941" t="s">
        <v>879</v>
      </c>
      <c r="C941" s="402">
        <v>0</v>
      </c>
      <c r="D941">
        <v>0</v>
      </c>
      <c r="E941" s="402">
        <v>7687081</v>
      </c>
      <c r="F941" s="402">
        <v>-7687081</v>
      </c>
    </row>
    <row r="942" spans="1:6">
      <c r="A942">
        <v>62918</v>
      </c>
      <c r="B942" t="s">
        <v>880</v>
      </c>
      <c r="C942" s="402">
        <v>0</v>
      </c>
      <c r="D942" s="402">
        <v>72540</v>
      </c>
      <c r="E942" s="402">
        <v>11659290</v>
      </c>
      <c r="F942" s="402">
        <v>-11586750</v>
      </c>
    </row>
    <row r="943" spans="1:6">
      <c r="A943">
        <v>62919</v>
      </c>
      <c r="B943" t="s">
        <v>881</v>
      </c>
      <c r="C943" s="402">
        <v>0</v>
      </c>
      <c r="D943" s="402">
        <v>0</v>
      </c>
      <c r="E943" s="402">
        <v>6100.99</v>
      </c>
      <c r="F943" s="402">
        <v>-6100.99</v>
      </c>
    </row>
    <row r="944" spans="1:6">
      <c r="A944">
        <v>62920</v>
      </c>
      <c r="B944" t="s">
        <v>882</v>
      </c>
      <c r="C944" s="402">
        <v>0</v>
      </c>
      <c r="D944" s="402">
        <v>0.44</v>
      </c>
      <c r="E944" s="402">
        <v>793108.56</v>
      </c>
      <c r="F944" s="402">
        <v>-793108.12</v>
      </c>
    </row>
    <row r="945" spans="1:6">
      <c r="A945">
        <v>62921</v>
      </c>
      <c r="B945" t="s">
        <v>883</v>
      </c>
      <c r="C945" s="402">
        <v>0</v>
      </c>
      <c r="D945" s="402">
        <v>0</v>
      </c>
      <c r="E945" s="402">
        <v>707310</v>
      </c>
      <c r="F945" s="402">
        <v>-707310</v>
      </c>
    </row>
    <row r="946" spans="1:6">
      <c r="A946">
        <v>62923</v>
      </c>
      <c r="B946" t="s">
        <v>884</v>
      </c>
      <c r="C946" s="402">
        <v>0</v>
      </c>
      <c r="D946" s="402">
        <v>39904.35</v>
      </c>
      <c r="E946" s="402">
        <v>81909138.069999993</v>
      </c>
      <c r="F946" s="402">
        <v>-81869233.719999999</v>
      </c>
    </row>
    <row r="947" spans="1:6">
      <c r="A947">
        <v>62924</v>
      </c>
      <c r="B947" t="s">
        <v>885</v>
      </c>
      <c r="C947">
        <v>0</v>
      </c>
      <c r="D947">
        <v>268</v>
      </c>
      <c r="E947">
        <v>356</v>
      </c>
      <c r="F947">
        <v>-88</v>
      </c>
    </row>
    <row r="948" spans="1:6">
      <c r="A948">
        <v>62926</v>
      </c>
      <c r="B948" t="s">
        <v>886</v>
      </c>
      <c r="C948" s="402">
        <v>0</v>
      </c>
      <c r="D948">
        <v>0</v>
      </c>
      <c r="E948" s="402">
        <v>12000</v>
      </c>
      <c r="F948" s="402">
        <v>-12000</v>
      </c>
    </row>
    <row r="949" spans="1:6">
      <c r="A949">
        <v>62927</v>
      </c>
      <c r="B949" t="s">
        <v>887</v>
      </c>
      <c r="C949" s="402">
        <v>0</v>
      </c>
      <c r="D949">
        <v>0</v>
      </c>
      <c r="E949" s="402">
        <v>121434</v>
      </c>
      <c r="F949" s="402">
        <v>-121434</v>
      </c>
    </row>
    <row r="950" spans="1:6">
      <c r="A950">
        <v>62933</v>
      </c>
      <c r="B950" t="s">
        <v>1271</v>
      </c>
      <c r="C950" s="402">
        <v>0</v>
      </c>
      <c r="D950">
        <v>0</v>
      </c>
      <c r="E950" s="402">
        <v>510693</v>
      </c>
      <c r="F950" s="402">
        <v>-510693</v>
      </c>
    </row>
    <row r="951" spans="1:6">
      <c r="A951">
        <v>62934</v>
      </c>
      <c r="B951" t="s">
        <v>1272</v>
      </c>
      <c r="C951" s="402">
        <v>0</v>
      </c>
      <c r="D951">
        <v>0</v>
      </c>
      <c r="E951" s="402">
        <v>213504</v>
      </c>
      <c r="F951" s="402">
        <v>-213504</v>
      </c>
    </row>
    <row r="952" spans="1:6">
      <c r="A952">
        <v>62943</v>
      </c>
      <c r="B952" t="s">
        <v>888</v>
      </c>
      <c r="C952" s="402">
        <v>0</v>
      </c>
      <c r="D952" s="402">
        <v>3827</v>
      </c>
      <c r="E952" s="402">
        <v>4108848.67</v>
      </c>
      <c r="F952" s="402">
        <v>-4105021.67</v>
      </c>
    </row>
    <row r="953" spans="1:6">
      <c r="A953">
        <v>62950</v>
      </c>
      <c r="B953" t="s">
        <v>889</v>
      </c>
      <c r="C953" s="402">
        <v>0</v>
      </c>
      <c r="D953" s="402">
        <v>5355652.2300000004</v>
      </c>
      <c r="E953" s="402">
        <v>44460578.560000002</v>
      </c>
      <c r="F953" s="402">
        <v>-39104926.329999998</v>
      </c>
    </row>
    <row r="954" spans="1:6">
      <c r="A954">
        <v>62951</v>
      </c>
      <c r="B954" t="s">
        <v>890</v>
      </c>
      <c r="C954" s="402">
        <v>0</v>
      </c>
      <c r="D954" s="402">
        <v>3100.31</v>
      </c>
      <c r="E954" s="402">
        <v>4801.3100000000004</v>
      </c>
      <c r="F954" s="402">
        <v>-1701</v>
      </c>
    </row>
    <row r="955" spans="1:6">
      <c r="A955">
        <v>62952</v>
      </c>
      <c r="B955" t="s">
        <v>891</v>
      </c>
      <c r="C955" s="402">
        <v>0</v>
      </c>
      <c r="D955" s="402">
        <v>3161</v>
      </c>
      <c r="E955" s="402">
        <v>5498.69</v>
      </c>
      <c r="F955" s="402">
        <v>-2337.69</v>
      </c>
    </row>
    <row r="956" spans="1:6">
      <c r="A956">
        <v>64100</v>
      </c>
      <c r="B956" t="s">
        <v>106</v>
      </c>
      <c r="C956" s="402">
        <v>0</v>
      </c>
      <c r="D956" s="402">
        <v>3896894.38</v>
      </c>
      <c r="E956" s="402">
        <v>17635358.59</v>
      </c>
      <c r="F956" s="402">
        <v>-13738464.210000001</v>
      </c>
    </row>
    <row r="957" spans="1:6">
      <c r="A957">
        <v>65800</v>
      </c>
      <c r="B957" t="s">
        <v>1273</v>
      </c>
      <c r="C957" s="402">
        <v>0</v>
      </c>
      <c r="D957" s="402">
        <v>205615</v>
      </c>
      <c r="E957" s="402">
        <v>205615</v>
      </c>
      <c r="F957" s="402">
        <v>0</v>
      </c>
    </row>
    <row r="958" spans="1:6">
      <c r="A958">
        <v>70145</v>
      </c>
      <c r="B958" t="s">
        <v>892</v>
      </c>
      <c r="C958" s="402">
        <v>0</v>
      </c>
      <c r="D958" s="402">
        <v>65415265</v>
      </c>
      <c r="E958" s="402">
        <v>12586399</v>
      </c>
      <c r="F958" s="402">
        <v>52828866</v>
      </c>
    </row>
    <row r="959" spans="1:6">
      <c r="A959">
        <v>70146</v>
      </c>
      <c r="B959" t="s">
        <v>893</v>
      </c>
      <c r="C959" s="402">
        <v>0</v>
      </c>
      <c r="D959" s="402">
        <v>25931967</v>
      </c>
      <c r="E959" s="402">
        <v>6470382</v>
      </c>
      <c r="F959" s="402">
        <v>19461585</v>
      </c>
    </row>
    <row r="960" spans="1:6">
      <c r="A960">
        <v>70190</v>
      </c>
      <c r="B960" t="s">
        <v>1274</v>
      </c>
      <c r="C960" s="402">
        <v>0</v>
      </c>
      <c r="D960" s="402">
        <v>105062694405</v>
      </c>
      <c r="E960">
        <v>0</v>
      </c>
      <c r="F960" s="540">
        <v>105062694405</v>
      </c>
    </row>
    <row r="961" spans="1:6">
      <c r="A961">
        <v>70217</v>
      </c>
      <c r="B961" t="s">
        <v>894</v>
      </c>
      <c r="C961" s="402">
        <v>0</v>
      </c>
      <c r="D961" s="402">
        <v>7204390</v>
      </c>
      <c r="E961" s="402">
        <v>773344</v>
      </c>
      <c r="F961" s="402">
        <v>6431046</v>
      </c>
    </row>
    <row r="962" spans="1:6">
      <c r="A962">
        <v>70410</v>
      </c>
      <c r="B962" t="s">
        <v>1275</v>
      </c>
      <c r="C962" s="402">
        <v>0</v>
      </c>
      <c r="D962" s="402">
        <v>7779320</v>
      </c>
      <c r="E962">
        <v>0</v>
      </c>
      <c r="F962" s="540">
        <v>7779320</v>
      </c>
    </row>
    <row r="963" spans="1:6">
      <c r="A963">
        <v>70604</v>
      </c>
      <c r="B963" t="s">
        <v>895</v>
      </c>
      <c r="C963" s="402">
        <v>0</v>
      </c>
      <c r="D963" s="402">
        <v>147711491.13999999</v>
      </c>
      <c r="E963" s="402">
        <v>29990176.140000001</v>
      </c>
      <c r="F963" s="402">
        <v>117721315</v>
      </c>
    </row>
    <row r="964" spans="1:6">
      <c r="A964">
        <v>73100</v>
      </c>
      <c r="B964" t="s">
        <v>896</v>
      </c>
      <c r="C964" s="402">
        <v>0</v>
      </c>
      <c r="D964" s="402">
        <v>17751172.239999998</v>
      </c>
      <c r="E964" s="402">
        <v>2240350.98</v>
      </c>
      <c r="F964" s="402">
        <v>15510821.26</v>
      </c>
    </row>
    <row r="965" spans="1:6">
      <c r="A965">
        <v>74100</v>
      </c>
      <c r="B965" t="s">
        <v>897</v>
      </c>
      <c r="C965" s="402">
        <v>0</v>
      </c>
      <c r="D965" s="402">
        <v>222695617.59</v>
      </c>
      <c r="E965" s="402">
        <v>85000128.760000005</v>
      </c>
      <c r="F965" s="402">
        <v>137695488.83000001</v>
      </c>
    </row>
    <row r="966" spans="1:6">
      <c r="A966">
        <v>74110</v>
      </c>
      <c r="B966" t="s">
        <v>898</v>
      </c>
      <c r="C966" s="402">
        <v>0</v>
      </c>
      <c r="D966" s="402">
        <v>4659864.7699999996</v>
      </c>
      <c r="E966" s="402">
        <v>228647.3</v>
      </c>
      <c r="F966" s="402">
        <v>4431217.47</v>
      </c>
    </row>
    <row r="967" spans="1:6">
      <c r="A967">
        <v>74200</v>
      </c>
      <c r="B967" t="s">
        <v>899</v>
      </c>
      <c r="C967" s="402">
        <v>0</v>
      </c>
      <c r="D967" s="402">
        <v>2620091.06</v>
      </c>
      <c r="E967" s="402">
        <v>765202.06</v>
      </c>
      <c r="F967" s="402">
        <v>1854889</v>
      </c>
    </row>
    <row r="968" spans="1:6">
      <c r="A968">
        <v>74300</v>
      </c>
      <c r="B968" t="s">
        <v>235</v>
      </c>
      <c r="C968" s="402">
        <v>0</v>
      </c>
      <c r="D968" s="402">
        <v>5198598.28</v>
      </c>
      <c r="E968" s="402">
        <v>1085258.6000000001</v>
      </c>
      <c r="F968" s="402">
        <v>4113339.68</v>
      </c>
    </row>
    <row r="969" spans="1:6">
      <c r="A969">
        <v>74500</v>
      </c>
      <c r="B969" t="s">
        <v>236</v>
      </c>
      <c r="C969" s="402">
        <v>0</v>
      </c>
      <c r="D969" s="402">
        <v>501906102.63</v>
      </c>
      <c r="E969" s="402">
        <v>182297294.81</v>
      </c>
      <c r="F969" s="402">
        <v>319608807.81999999</v>
      </c>
    </row>
    <row r="970" spans="1:6">
      <c r="A970">
        <v>74600</v>
      </c>
      <c r="B970" t="s">
        <v>900</v>
      </c>
      <c r="C970" s="402">
        <v>0</v>
      </c>
      <c r="D970" s="402">
        <v>758028.52</v>
      </c>
      <c r="E970" s="402">
        <v>223664</v>
      </c>
      <c r="F970" s="402">
        <v>534364.52</v>
      </c>
    </row>
    <row r="971" spans="1:6">
      <c r="A971">
        <v>74700</v>
      </c>
      <c r="B971" t="s">
        <v>901</v>
      </c>
      <c r="C971" s="402">
        <v>0</v>
      </c>
      <c r="D971" s="402">
        <v>6189958.0099999998</v>
      </c>
      <c r="E971" s="402">
        <v>1341298.71</v>
      </c>
      <c r="F971" s="402">
        <v>4848659.3</v>
      </c>
    </row>
    <row r="972" spans="1:6">
      <c r="A972">
        <v>74800</v>
      </c>
      <c r="B972" t="s">
        <v>239</v>
      </c>
      <c r="C972" s="402">
        <v>0</v>
      </c>
      <c r="D972" s="402">
        <v>16885877.109999999</v>
      </c>
      <c r="E972" s="402">
        <v>3324304.6</v>
      </c>
      <c r="F972" s="402">
        <v>13561572.51</v>
      </c>
    </row>
    <row r="973" spans="1:6">
      <c r="A973">
        <v>75110</v>
      </c>
      <c r="B973" t="s">
        <v>240</v>
      </c>
      <c r="C973" s="402">
        <v>0</v>
      </c>
      <c r="D973" s="402">
        <v>2348948669.6799998</v>
      </c>
      <c r="E973" s="402">
        <v>27915923.670000002</v>
      </c>
      <c r="F973" s="402">
        <v>2321032746.0100002</v>
      </c>
    </row>
    <row r="974" spans="1:6">
      <c r="A974">
        <v>75210</v>
      </c>
      <c r="B974" t="s">
        <v>241</v>
      </c>
      <c r="C974" s="402">
        <v>0</v>
      </c>
      <c r="D974" s="402">
        <v>27963161.670000002</v>
      </c>
      <c r="E974" s="402">
        <v>70656.11</v>
      </c>
      <c r="F974" s="402">
        <v>27892505.559999999</v>
      </c>
    </row>
    <row r="975" spans="1:6">
      <c r="A975">
        <v>75310</v>
      </c>
      <c r="B975" t="s">
        <v>242</v>
      </c>
      <c r="C975" s="402">
        <v>0</v>
      </c>
      <c r="D975" s="402">
        <v>750983734.58000004</v>
      </c>
      <c r="E975" s="402">
        <v>5270538.3099999996</v>
      </c>
      <c r="F975" s="402">
        <v>745713196.26999998</v>
      </c>
    </row>
    <row r="976" spans="1:6">
      <c r="A976">
        <v>75412</v>
      </c>
      <c r="B976" t="s">
        <v>902</v>
      </c>
      <c r="C976" s="402">
        <v>0</v>
      </c>
      <c r="D976" s="402">
        <v>217688.36</v>
      </c>
      <c r="E976" s="402">
        <v>0</v>
      </c>
      <c r="F976" s="402">
        <v>217688.36</v>
      </c>
    </row>
    <row r="977" spans="1:6">
      <c r="A977">
        <v>75413</v>
      </c>
      <c r="B977" t="s">
        <v>903</v>
      </c>
      <c r="C977" s="402">
        <v>0</v>
      </c>
      <c r="D977" s="402">
        <v>131328793.13</v>
      </c>
      <c r="E977" s="402">
        <v>1200367.03</v>
      </c>
      <c r="F977" s="402">
        <v>130128426.09999999</v>
      </c>
    </row>
    <row r="978" spans="1:6">
      <c r="A978">
        <v>75414</v>
      </c>
      <c r="B978" t="s">
        <v>904</v>
      </c>
      <c r="C978" s="402">
        <v>0</v>
      </c>
      <c r="D978" s="402">
        <v>3350541.78</v>
      </c>
      <c r="E978" s="402">
        <v>0</v>
      </c>
      <c r="F978" s="402">
        <v>3350541.78</v>
      </c>
    </row>
    <row r="979" spans="1:6">
      <c r="A979">
        <v>75415</v>
      </c>
      <c r="B979" t="s">
        <v>905</v>
      </c>
      <c r="C979" s="402">
        <v>0</v>
      </c>
      <c r="D979" s="402">
        <v>91141698.390000001</v>
      </c>
      <c r="E979" s="402">
        <v>1451023.37</v>
      </c>
      <c r="F979" s="402">
        <v>89690675.019999996</v>
      </c>
    </row>
    <row r="980" spans="1:6">
      <c r="A980">
        <v>75416</v>
      </c>
      <c r="B980" t="s">
        <v>906</v>
      </c>
      <c r="C980" s="402">
        <v>0</v>
      </c>
      <c r="D980" s="402">
        <v>83469218.489999995</v>
      </c>
      <c r="E980" s="402">
        <v>2019135.89</v>
      </c>
      <c r="F980" s="402">
        <v>81450082.599999994</v>
      </c>
    </row>
    <row r="981" spans="1:6">
      <c r="A981">
        <v>75417</v>
      </c>
      <c r="B981" t="s">
        <v>907</v>
      </c>
      <c r="C981" s="402">
        <v>0</v>
      </c>
      <c r="D981" s="402">
        <v>38926435.149999999</v>
      </c>
      <c r="E981" s="402">
        <v>28915.47</v>
      </c>
      <c r="F981" s="402">
        <v>38897519.68</v>
      </c>
    </row>
    <row r="982" spans="1:6">
      <c r="A982">
        <v>75419</v>
      </c>
      <c r="B982" t="s">
        <v>908</v>
      </c>
      <c r="C982" s="402">
        <v>0</v>
      </c>
      <c r="D982" s="402">
        <v>250769716.59</v>
      </c>
      <c r="E982" s="402">
        <v>10080457.449999999</v>
      </c>
      <c r="F982" s="402">
        <v>240689259.13999999</v>
      </c>
    </row>
    <row r="983" spans="1:6">
      <c r="A983">
        <v>75510</v>
      </c>
      <c r="B983" t="s">
        <v>244</v>
      </c>
      <c r="C983" s="402">
        <v>0</v>
      </c>
      <c r="D983" s="402">
        <v>10778573</v>
      </c>
      <c r="E983" s="402">
        <v>10070144</v>
      </c>
      <c r="F983" s="402">
        <v>708429</v>
      </c>
    </row>
    <row r="984" spans="1:6">
      <c r="A984">
        <v>75610</v>
      </c>
      <c r="B984" t="s">
        <v>108</v>
      </c>
      <c r="C984" s="402">
        <v>0</v>
      </c>
      <c r="D984" s="402">
        <v>82627.91</v>
      </c>
      <c r="E984" s="402">
        <v>82627.91</v>
      </c>
      <c r="F984" s="402">
        <v>0</v>
      </c>
    </row>
    <row r="985" spans="1:6">
      <c r="A985">
        <v>75611</v>
      </c>
      <c r="B985" t="s">
        <v>909</v>
      </c>
      <c r="C985" s="402">
        <v>0</v>
      </c>
      <c r="D985" s="402">
        <v>75083835.730000004</v>
      </c>
      <c r="E985" s="402">
        <v>11160867.6</v>
      </c>
      <c r="F985" s="402">
        <v>63922968.130000003</v>
      </c>
    </row>
    <row r="986" spans="1:6">
      <c r="A986">
        <v>75612</v>
      </c>
      <c r="B986" t="s">
        <v>910</v>
      </c>
      <c r="C986" s="402">
        <v>0</v>
      </c>
      <c r="D986" s="402">
        <v>2844398.31</v>
      </c>
      <c r="E986" s="402">
        <v>309950.2</v>
      </c>
      <c r="F986" s="402">
        <v>2534448.11</v>
      </c>
    </row>
    <row r="987" spans="1:6">
      <c r="A987">
        <v>75617</v>
      </c>
      <c r="B987" t="s">
        <v>911</v>
      </c>
      <c r="C987" s="402">
        <v>0</v>
      </c>
      <c r="D987" s="402">
        <v>10139405.27</v>
      </c>
      <c r="E987" s="402">
        <v>447095.5</v>
      </c>
      <c r="F987" s="402">
        <v>9692309.7699999996</v>
      </c>
    </row>
    <row r="988" spans="1:6">
      <c r="A988">
        <v>75628</v>
      </c>
      <c r="B988" t="s">
        <v>912</v>
      </c>
      <c r="C988" s="402">
        <v>0</v>
      </c>
      <c r="D988" s="402">
        <v>4357855</v>
      </c>
      <c r="E988" s="402">
        <v>28849</v>
      </c>
      <c r="F988" s="402">
        <v>4329006</v>
      </c>
    </row>
    <row r="989" spans="1:6">
      <c r="A989">
        <v>75629</v>
      </c>
      <c r="B989" t="s">
        <v>913</v>
      </c>
      <c r="C989" s="402">
        <v>0</v>
      </c>
      <c r="D989" s="402">
        <v>1343675</v>
      </c>
      <c r="E989" s="402">
        <v>0</v>
      </c>
      <c r="F989" s="402">
        <v>1343675</v>
      </c>
    </row>
    <row r="990" spans="1:6">
      <c r="A990">
        <v>75640</v>
      </c>
      <c r="B990" t="s">
        <v>914</v>
      </c>
      <c r="C990" s="402">
        <v>0</v>
      </c>
      <c r="D990" s="402">
        <v>94920</v>
      </c>
      <c r="E990" s="402">
        <v>15414</v>
      </c>
      <c r="F990" s="402">
        <v>79506</v>
      </c>
    </row>
    <row r="991" spans="1:6">
      <c r="A991">
        <v>75646</v>
      </c>
      <c r="B991" t="s">
        <v>915</v>
      </c>
      <c r="C991">
        <v>0</v>
      </c>
      <c r="D991" s="402">
        <v>53794</v>
      </c>
      <c r="E991" s="402">
        <v>1230</v>
      </c>
      <c r="F991" s="402">
        <v>52564</v>
      </c>
    </row>
    <row r="992" spans="1:6">
      <c r="A992">
        <v>75740</v>
      </c>
      <c r="B992" t="s">
        <v>916</v>
      </c>
      <c r="C992" s="402">
        <v>0</v>
      </c>
      <c r="D992" s="402">
        <v>5236584.82</v>
      </c>
      <c r="E992" s="402">
        <v>1030582.29</v>
      </c>
      <c r="F992" s="402">
        <v>4206002.53</v>
      </c>
    </row>
    <row r="993" spans="1:6">
      <c r="A993">
        <v>75750</v>
      </c>
      <c r="B993" t="s">
        <v>917</v>
      </c>
      <c r="C993" s="402">
        <v>0</v>
      </c>
      <c r="D993" s="402">
        <v>34567</v>
      </c>
      <c r="E993" s="402">
        <v>5860</v>
      </c>
      <c r="F993" s="402">
        <v>28707</v>
      </c>
    </row>
    <row r="994" spans="1:6">
      <c r="A994">
        <v>75751</v>
      </c>
      <c r="B994" t="s">
        <v>918</v>
      </c>
      <c r="C994" s="402">
        <v>0</v>
      </c>
      <c r="D994" s="402">
        <v>1577861</v>
      </c>
      <c r="E994">
        <v>0</v>
      </c>
      <c r="F994" s="402">
        <v>1577861</v>
      </c>
    </row>
    <row r="995" spans="1:6">
      <c r="A995">
        <v>75761</v>
      </c>
      <c r="B995" t="s">
        <v>1276</v>
      </c>
      <c r="C995" s="402">
        <v>0</v>
      </c>
      <c r="D995" s="402">
        <v>43671633</v>
      </c>
      <c r="E995">
        <v>0</v>
      </c>
      <c r="F995" s="402">
        <v>43671633</v>
      </c>
    </row>
    <row r="996" spans="1:6">
      <c r="A996">
        <v>75769</v>
      </c>
      <c r="B996" t="s">
        <v>919</v>
      </c>
      <c r="C996">
        <v>0</v>
      </c>
      <c r="D996" s="402">
        <v>19405</v>
      </c>
      <c r="E996" s="402">
        <v>3500</v>
      </c>
      <c r="F996" s="402">
        <v>15905</v>
      </c>
    </row>
    <row r="997" spans="1:6">
      <c r="A997">
        <v>75770</v>
      </c>
      <c r="B997" t="s">
        <v>920</v>
      </c>
      <c r="C997">
        <v>0</v>
      </c>
      <c r="D997" s="402">
        <v>1104440</v>
      </c>
      <c r="E997" s="402">
        <v>67446</v>
      </c>
      <c r="F997" s="402">
        <v>1036994</v>
      </c>
    </row>
    <row r="998" spans="1:6">
      <c r="A998">
        <v>75772</v>
      </c>
      <c r="B998" t="s">
        <v>921</v>
      </c>
      <c r="C998" s="402">
        <v>0</v>
      </c>
      <c r="D998" s="402">
        <v>824834</v>
      </c>
      <c r="E998" s="402">
        <v>6563</v>
      </c>
      <c r="F998" s="402">
        <v>818271</v>
      </c>
    </row>
    <row r="999" spans="1:6">
      <c r="A999">
        <v>75810</v>
      </c>
      <c r="B999" t="s">
        <v>922</v>
      </c>
      <c r="C999" s="402">
        <v>0</v>
      </c>
      <c r="D999" s="402">
        <v>287043944</v>
      </c>
      <c r="E999" s="402">
        <v>3022540</v>
      </c>
      <c r="F999" s="402">
        <v>284021404</v>
      </c>
    </row>
    <row r="1000" spans="1:6">
      <c r="A1000">
        <v>75811</v>
      </c>
      <c r="B1000" t="s">
        <v>653</v>
      </c>
      <c r="C1000" s="402">
        <v>0</v>
      </c>
      <c r="D1000" s="402">
        <v>268101</v>
      </c>
      <c r="E1000" s="402">
        <v>0</v>
      </c>
      <c r="F1000" s="402">
        <v>268101</v>
      </c>
    </row>
    <row r="1001" spans="1:6">
      <c r="A1001">
        <v>75840</v>
      </c>
      <c r="B1001" t="s">
        <v>923</v>
      </c>
      <c r="C1001" s="402">
        <v>0</v>
      </c>
      <c r="D1001" s="402">
        <v>2703345</v>
      </c>
      <c r="E1001" s="402">
        <v>2947731</v>
      </c>
      <c r="F1001" s="402">
        <v>-244386</v>
      </c>
    </row>
    <row r="1002" spans="1:6">
      <c r="A1002">
        <v>75850</v>
      </c>
      <c r="B1002" t="s">
        <v>924</v>
      </c>
      <c r="C1002" s="402">
        <v>0</v>
      </c>
      <c r="D1002" s="402">
        <v>5307622</v>
      </c>
      <c r="E1002" s="402">
        <v>104582</v>
      </c>
      <c r="F1002" s="402">
        <v>5203040</v>
      </c>
    </row>
    <row r="1003" spans="1:6">
      <c r="A1003">
        <v>75860</v>
      </c>
      <c r="B1003" t="s">
        <v>1277</v>
      </c>
      <c r="C1003" s="402">
        <v>0</v>
      </c>
      <c r="D1003" s="402">
        <v>566552</v>
      </c>
      <c r="E1003" s="402">
        <v>0</v>
      </c>
      <c r="F1003" s="402">
        <v>566552</v>
      </c>
    </row>
    <row r="1004" spans="1:6">
      <c r="A1004">
        <v>75861</v>
      </c>
      <c r="B1004" t="s">
        <v>925</v>
      </c>
      <c r="C1004" s="402">
        <v>0</v>
      </c>
      <c r="D1004" s="402">
        <v>73496775</v>
      </c>
      <c r="E1004" s="402">
        <v>851145</v>
      </c>
      <c r="F1004" s="402">
        <v>72645630</v>
      </c>
    </row>
    <row r="1005" spans="1:6">
      <c r="A1005">
        <v>75862</v>
      </c>
      <c r="B1005" t="s">
        <v>926</v>
      </c>
      <c r="C1005" s="402">
        <v>0</v>
      </c>
      <c r="D1005" s="402">
        <v>99626249.859999999</v>
      </c>
      <c r="E1005" s="402">
        <v>985912</v>
      </c>
      <c r="F1005" s="402">
        <v>98640337.859999999</v>
      </c>
    </row>
    <row r="1006" spans="1:6">
      <c r="A1006">
        <v>75890</v>
      </c>
      <c r="B1006" t="s">
        <v>927</v>
      </c>
      <c r="C1006" s="402">
        <v>0</v>
      </c>
      <c r="D1006" s="402">
        <v>237055</v>
      </c>
      <c r="E1006">
        <v>0</v>
      </c>
      <c r="F1006" s="402">
        <v>237055</v>
      </c>
    </row>
    <row r="1007" spans="1:6">
      <c r="A1007">
        <v>76101</v>
      </c>
      <c r="B1007" t="s">
        <v>928</v>
      </c>
      <c r="C1007" s="402">
        <v>0</v>
      </c>
      <c r="D1007" s="402">
        <v>32125914.859999999</v>
      </c>
      <c r="E1007" s="402">
        <v>5430503.2599999998</v>
      </c>
      <c r="F1007" s="402">
        <v>26695411.600000001</v>
      </c>
    </row>
    <row r="1008" spans="1:6">
      <c r="A1008">
        <v>76102</v>
      </c>
      <c r="B1008" t="s">
        <v>929</v>
      </c>
      <c r="C1008" s="402">
        <v>0</v>
      </c>
      <c r="D1008" s="402">
        <v>4213808.5199999996</v>
      </c>
      <c r="E1008" s="402">
        <v>418000</v>
      </c>
      <c r="F1008" s="402">
        <v>3795808.52</v>
      </c>
    </row>
    <row r="1009" spans="1:6">
      <c r="A1009">
        <v>76103</v>
      </c>
      <c r="B1009" t="s">
        <v>930</v>
      </c>
      <c r="C1009" s="402">
        <v>0</v>
      </c>
      <c r="D1009" s="402">
        <v>1270</v>
      </c>
      <c r="E1009">
        <v>0</v>
      </c>
      <c r="F1009" s="402">
        <v>1270</v>
      </c>
    </row>
    <row r="1010" spans="1:6">
      <c r="A1010">
        <v>76104</v>
      </c>
      <c r="B1010" t="s">
        <v>1278</v>
      </c>
      <c r="C1010" s="402">
        <v>0</v>
      </c>
      <c r="D1010" s="402">
        <v>2626400</v>
      </c>
      <c r="E1010">
        <v>0</v>
      </c>
      <c r="F1010" s="402">
        <v>2626400</v>
      </c>
    </row>
    <row r="1011" spans="1:6">
      <c r="A1011">
        <v>76105</v>
      </c>
      <c r="B1011" t="s">
        <v>1279</v>
      </c>
      <c r="C1011" s="402">
        <v>0</v>
      </c>
      <c r="D1011" s="402">
        <v>76481</v>
      </c>
      <c r="E1011">
        <v>0</v>
      </c>
      <c r="F1011" s="402">
        <v>76481</v>
      </c>
    </row>
    <row r="1012" spans="1:6">
      <c r="A1012">
        <v>76107</v>
      </c>
      <c r="B1012" t="s">
        <v>931</v>
      </c>
      <c r="C1012">
        <v>0</v>
      </c>
      <c r="D1012" s="402">
        <v>683396.83</v>
      </c>
      <c r="E1012" s="402">
        <v>223905</v>
      </c>
      <c r="F1012" s="402">
        <v>459491.83</v>
      </c>
    </row>
    <row r="1013" spans="1:6">
      <c r="A1013">
        <v>76108</v>
      </c>
      <c r="B1013" t="s">
        <v>932</v>
      </c>
      <c r="C1013" s="402">
        <v>0</v>
      </c>
      <c r="D1013" s="402">
        <v>9980941.9199999999</v>
      </c>
      <c r="E1013" s="402">
        <v>4657198.2</v>
      </c>
      <c r="F1013" s="402">
        <v>5323743.72</v>
      </c>
    </row>
    <row r="1014" spans="1:6">
      <c r="A1014">
        <v>76110</v>
      </c>
      <c r="B1014" t="s">
        <v>1280</v>
      </c>
      <c r="C1014" s="402">
        <v>0</v>
      </c>
      <c r="D1014" s="402">
        <v>1100</v>
      </c>
      <c r="E1014">
        <v>0</v>
      </c>
      <c r="F1014" s="402">
        <v>1100</v>
      </c>
    </row>
    <row r="1015" spans="1:6">
      <c r="A1015">
        <v>76111</v>
      </c>
      <c r="B1015" t="s">
        <v>933</v>
      </c>
      <c r="C1015">
        <v>0</v>
      </c>
      <c r="D1015" s="402">
        <v>2341565.84</v>
      </c>
      <c r="E1015" s="402">
        <v>164868</v>
      </c>
      <c r="F1015" s="402">
        <v>2176697.84</v>
      </c>
    </row>
    <row r="1016" spans="1:6">
      <c r="A1016">
        <v>76112</v>
      </c>
      <c r="B1016" t="s">
        <v>934</v>
      </c>
      <c r="C1016" s="402">
        <v>0</v>
      </c>
      <c r="D1016" s="402">
        <v>2921455</v>
      </c>
      <c r="E1016" s="402">
        <v>192795</v>
      </c>
      <c r="F1016" s="402">
        <v>2728660</v>
      </c>
    </row>
    <row r="1017" spans="1:6">
      <c r="A1017">
        <v>76114</v>
      </c>
      <c r="B1017" t="s">
        <v>935</v>
      </c>
      <c r="C1017" s="402">
        <v>0</v>
      </c>
      <c r="D1017" s="402">
        <v>1513790.04</v>
      </c>
      <c r="E1017" s="402">
        <v>324214.15999999997</v>
      </c>
      <c r="F1017" s="402">
        <v>1189575.8799999999</v>
      </c>
    </row>
    <row r="1018" spans="1:6">
      <c r="A1018">
        <v>76115</v>
      </c>
      <c r="B1018" t="s">
        <v>936</v>
      </c>
      <c r="C1018" s="402">
        <v>0</v>
      </c>
      <c r="D1018" s="402">
        <v>5548</v>
      </c>
      <c r="E1018" s="402">
        <v>589</v>
      </c>
      <c r="F1018" s="402">
        <v>4959</v>
      </c>
    </row>
    <row r="1019" spans="1:6">
      <c r="A1019">
        <v>76116</v>
      </c>
      <c r="B1019" t="s">
        <v>937</v>
      </c>
      <c r="C1019" s="402">
        <v>0</v>
      </c>
      <c r="D1019" s="402">
        <v>10049469.199999999</v>
      </c>
      <c r="E1019" s="402">
        <v>1078809.55</v>
      </c>
      <c r="F1019" s="402">
        <v>8970659.6500000004</v>
      </c>
    </row>
    <row r="1020" spans="1:6">
      <c r="A1020">
        <v>76118</v>
      </c>
      <c r="B1020" t="s">
        <v>938</v>
      </c>
      <c r="C1020">
        <v>0</v>
      </c>
      <c r="D1020" s="402">
        <v>1778413</v>
      </c>
      <c r="E1020" s="402">
        <v>87446</v>
      </c>
      <c r="F1020" s="402">
        <v>1690967</v>
      </c>
    </row>
    <row r="1021" spans="1:6">
      <c r="A1021">
        <v>76119</v>
      </c>
      <c r="B1021" t="s">
        <v>939</v>
      </c>
      <c r="C1021">
        <v>0</v>
      </c>
      <c r="D1021" s="402">
        <v>324619</v>
      </c>
      <c r="E1021" s="402">
        <v>2126</v>
      </c>
      <c r="F1021" s="402">
        <v>322493</v>
      </c>
    </row>
    <row r="1022" spans="1:6">
      <c r="A1022">
        <v>76120</v>
      </c>
      <c r="B1022" t="s">
        <v>940</v>
      </c>
      <c r="C1022">
        <v>0</v>
      </c>
      <c r="D1022" s="402">
        <v>1580</v>
      </c>
      <c r="E1022" s="402">
        <v>0</v>
      </c>
      <c r="F1022" s="402">
        <v>1580</v>
      </c>
    </row>
    <row r="1023" spans="1:6">
      <c r="A1023">
        <v>76121</v>
      </c>
      <c r="B1023" t="s">
        <v>941</v>
      </c>
      <c r="C1023">
        <v>0</v>
      </c>
      <c r="D1023" s="402">
        <v>26479604.280000001</v>
      </c>
      <c r="E1023" s="402">
        <v>3020904.24</v>
      </c>
      <c r="F1023" s="402">
        <v>23458700.039999999</v>
      </c>
    </row>
    <row r="1024" spans="1:6">
      <c r="A1024">
        <v>76122</v>
      </c>
      <c r="B1024" t="s">
        <v>1281</v>
      </c>
      <c r="C1024">
        <v>0</v>
      </c>
      <c r="D1024" s="402">
        <v>2063702</v>
      </c>
      <c r="E1024" s="402">
        <v>0</v>
      </c>
      <c r="F1024" s="402">
        <v>2063702</v>
      </c>
    </row>
    <row r="1025" spans="1:6">
      <c r="A1025">
        <v>76123</v>
      </c>
      <c r="B1025" t="s">
        <v>942</v>
      </c>
      <c r="C1025">
        <v>0</v>
      </c>
      <c r="D1025" s="402">
        <v>7123036</v>
      </c>
      <c r="E1025" s="402">
        <v>737950</v>
      </c>
      <c r="F1025" s="402">
        <v>6385086</v>
      </c>
    </row>
    <row r="1026" spans="1:6">
      <c r="A1026">
        <v>76124</v>
      </c>
      <c r="B1026" t="s">
        <v>943</v>
      </c>
      <c r="C1026">
        <v>0</v>
      </c>
      <c r="D1026" s="402">
        <v>1593255.32</v>
      </c>
      <c r="E1026" s="402">
        <v>133600</v>
      </c>
      <c r="F1026" s="402">
        <v>1459655.32</v>
      </c>
    </row>
    <row r="1027" spans="1:6">
      <c r="A1027">
        <v>76125</v>
      </c>
      <c r="B1027" t="s">
        <v>944</v>
      </c>
      <c r="C1027">
        <v>0</v>
      </c>
      <c r="D1027" s="402">
        <v>3778126.55</v>
      </c>
      <c r="E1027" s="402">
        <v>623006.86</v>
      </c>
      <c r="F1027" s="402">
        <v>3155119.69</v>
      </c>
    </row>
    <row r="1028" spans="1:6">
      <c r="A1028">
        <v>76126</v>
      </c>
      <c r="B1028" t="s">
        <v>945</v>
      </c>
      <c r="C1028">
        <v>0</v>
      </c>
      <c r="D1028" s="402">
        <v>2832</v>
      </c>
      <c r="E1028" s="402">
        <v>0</v>
      </c>
      <c r="F1028" s="402">
        <v>2832</v>
      </c>
    </row>
    <row r="1029" spans="1:6">
      <c r="A1029">
        <v>76127</v>
      </c>
      <c r="B1029" t="s">
        <v>946</v>
      </c>
      <c r="C1029">
        <v>0</v>
      </c>
      <c r="D1029" s="402">
        <v>337480</v>
      </c>
      <c r="E1029" s="402">
        <v>10620</v>
      </c>
      <c r="F1029" s="402">
        <v>326860</v>
      </c>
    </row>
    <row r="1030" spans="1:6">
      <c r="A1030">
        <v>76130</v>
      </c>
      <c r="B1030" t="s">
        <v>947</v>
      </c>
      <c r="C1030" s="402">
        <v>0</v>
      </c>
      <c r="D1030" s="402">
        <v>44021</v>
      </c>
      <c r="E1030" s="402">
        <v>0</v>
      </c>
      <c r="F1030" s="402">
        <v>44021</v>
      </c>
    </row>
    <row r="1031" spans="1:6">
      <c r="A1031">
        <v>76131</v>
      </c>
      <c r="B1031" t="s">
        <v>948</v>
      </c>
      <c r="C1031" s="402">
        <v>0</v>
      </c>
      <c r="D1031" s="402">
        <v>347361</v>
      </c>
      <c r="E1031" s="402">
        <v>117770</v>
      </c>
      <c r="F1031" s="402">
        <v>229591</v>
      </c>
    </row>
    <row r="1032" spans="1:6">
      <c r="A1032">
        <v>76132</v>
      </c>
      <c r="B1032" t="s">
        <v>949</v>
      </c>
      <c r="C1032" s="402">
        <v>0</v>
      </c>
      <c r="D1032" s="402">
        <v>34526300.729999997</v>
      </c>
      <c r="E1032" s="402">
        <v>9687112</v>
      </c>
      <c r="F1032" s="402">
        <v>24839188.73</v>
      </c>
    </row>
    <row r="1033" spans="1:6">
      <c r="A1033">
        <v>76133</v>
      </c>
      <c r="B1033" t="s">
        <v>950</v>
      </c>
      <c r="C1033" s="402">
        <v>0</v>
      </c>
      <c r="D1033" s="402">
        <v>73535702</v>
      </c>
      <c r="E1033" s="402">
        <v>24242739.989999998</v>
      </c>
      <c r="F1033" s="402">
        <v>49292962.009999998</v>
      </c>
    </row>
    <row r="1034" spans="1:6">
      <c r="A1034">
        <v>76136</v>
      </c>
      <c r="B1034" t="s">
        <v>951</v>
      </c>
      <c r="C1034" s="402">
        <v>0</v>
      </c>
      <c r="D1034" s="402">
        <v>1055010.71</v>
      </c>
      <c r="E1034" s="402">
        <v>317594</v>
      </c>
      <c r="F1034" s="402">
        <v>737416.71</v>
      </c>
    </row>
    <row r="1035" spans="1:6">
      <c r="A1035">
        <v>76137</v>
      </c>
      <c r="B1035" t="s">
        <v>952</v>
      </c>
      <c r="C1035" s="402">
        <v>0</v>
      </c>
      <c r="D1035" s="402">
        <v>253403694.21000001</v>
      </c>
      <c r="E1035" s="402">
        <v>55183528.119999997</v>
      </c>
      <c r="F1035" s="402">
        <v>198220166.09</v>
      </c>
    </row>
    <row r="1036" spans="1:6">
      <c r="A1036">
        <v>76138</v>
      </c>
      <c r="B1036" t="s">
        <v>953</v>
      </c>
      <c r="C1036" s="402">
        <v>0</v>
      </c>
      <c r="D1036" s="402">
        <v>10800</v>
      </c>
      <c r="E1036">
        <v>0</v>
      </c>
      <c r="F1036" s="402">
        <v>10800</v>
      </c>
    </row>
    <row r="1037" spans="1:6">
      <c r="A1037">
        <v>76145</v>
      </c>
      <c r="B1037" t="s">
        <v>954</v>
      </c>
      <c r="C1037" s="402">
        <v>0</v>
      </c>
      <c r="D1037" s="402">
        <v>117259.29</v>
      </c>
      <c r="E1037" s="402">
        <v>117259.29</v>
      </c>
      <c r="F1037" s="402">
        <v>0</v>
      </c>
    </row>
    <row r="1038" spans="1:6">
      <c r="A1038">
        <v>76147</v>
      </c>
      <c r="B1038" t="s">
        <v>955</v>
      </c>
      <c r="C1038" s="402">
        <v>0</v>
      </c>
      <c r="D1038" s="402">
        <v>138549</v>
      </c>
      <c r="E1038">
        <v>0</v>
      </c>
      <c r="F1038" s="402">
        <v>138549</v>
      </c>
    </row>
    <row r="1039" spans="1:6">
      <c r="A1039">
        <v>76150</v>
      </c>
      <c r="B1039" t="s">
        <v>956</v>
      </c>
      <c r="C1039" s="402">
        <v>0</v>
      </c>
      <c r="D1039" s="402">
        <v>242100</v>
      </c>
      <c r="E1039" s="402">
        <v>12000</v>
      </c>
      <c r="F1039" s="402">
        <v>230100</v>
      </c>
    </row>
    <row r="1040" spans="1:6">
      <c r="A1040">
        <v>76151</v>
      </c>
      <c r="B1040" t="s">
        <v>957</v>
      </c>
      <c r="C1040" s="402">
        <v>0</v>
      </c>
      <c r="D1040" s="402">
        <v>20658097.82</v>
      </c>
      <c r="E1040" s="402">
        <v>1801399.1</v>
      </c>
      <c r="F1040" s="402">
        <v>18856698.719999999</v>
      </c>
    </row>
    <row r="1041" spans="1:6">
      <c r="A1041">
        <v>76152</v>
      </c>
      <c r="B1041" t="s">
        <v>958</v>
      </c>
      <c r="C1041" s="402">
        <v>0</v>
      </c>
      <c r="D1041" s="402">
        <v>169011.20000000001</v>
      </c>
      <c r="E1041" s="402">
        <v>38060</v>
      </c>
      <c r="F1041" s="402">
        <v>130951.2</v>
      </c>
    </row>
    <row r="1042" spans="1:6">
      <c r="A1042">
        <v>76153</v>
      </c>
      <c r="B1042" t="s">
        <v>959</v>
      </c>
      <c r="C1042" s="402">
        <v>0</v>
      </c>
      <c r="D1042" s="402">
        <v>30948185.489999998</v>
      </c>
      <c r="E1042" s="402">
        <v>4918523.04</v>
      </c>
      <c r="F1042" s="402">
        <v>26029662.449999999</v>
      </c>
    </row>
    <row r="1043" spans="1:6">
      <c r="A1043">
        <v>76154</v>
      </c>
      <c r="B1043" t="s">
        <v>960</v>
      </c>
      <c r="C1043" s="402">
        <v>0</v>
      </c>
      <c r="D1043" s="402">
        <v>725444.87</v>
      </c>
      <c r="E1043" s="402">
        <v>68111</v>
      </c>
      <c r="F1043" s="402">
        <v>657333.87</v>
      </c>
    </row>
    <row r="1044" spans="1:6">
      <c r="A1044">
        <v>76155</v>
      </c>
      <c r="B1044" t="s">
        <v>961</v>
      </c>
      <c r="C1044" s="402">
        <v>0</v>
      </c>
      <c r="D1044" s="402">
        <v>9247796.1899999995</v>
      </c>
      <c r="E1044" s="402">
        <v>1161235.8</v>
      </c>
      <c r="F1044" s="402">
        <v>8086560.3899999997</v>
      </c>
    </row>
    <row r="1045" spans="1:6">
      <c r="A1045">
        <v>76156</v>
      </c>
      <c r="B1045" t="s">
        <v>962</v>
      </c>
      <c r="C1045" s="402">
        <v>0</v>
      </c>
      <c r="D1045" s="402">
        <v>4863188.92</v>
      </c>
      <c r="E1045" s="402">
        <v>1008544.5</v>
      </c>
      <c r="F1045" s="402">
        <v>3854644.42</v>
      </c>
    </row>
    <row r="1046" spans="1:6">
      <c r="A1046">
        <v>76158</v>
      </c>
      <c r="B1046" t="s">
        <v>963</v>
      </c>
      <c r="C1046" s="402">
        <v>0</v>
      </c>
      <c r="D1046" s="402">
        <v>20064268.109999999</v>
      </c>
      <c r="E1046" s="402">
        <v>322401.33</v>
      </c>
      <c r="F1046" s="402">
        <v>19741866.780000001</v>
      </c>
    </row>
    <row r="1047" spans="1:6">
      <c r="A1047">
        <v>76160</v>
      </c>
      <c r="B1047" t="s">
        <v>964</v>
      </c>
      <c r="C1047" s="402">
        <v>0</v>
      </c>
      <c r="D1047" s="402">
        <v>7354980.5999999996</v>
      </c>
      <c r="E1047" s="402">
        <v>1482592.6</v>
      </c>
      <c r="F1047" s="402">
        <v>5872388</v>
      </c>
    </row>
    <row r="1048" spans="1:6">
      <c r="A1048">
        <v>76162</v>
      </c>
      <c r="B1048" t="s">
        <v>965</v>
      </c>
      <c r="C1048" s="402">
        <v>0</v>
      </c>
      <c r="D1048" s="402">
        <v>62454</v>
      </c>
      <c r="E1048" s="402">
        <v>1050</v>
      </c>
      <c r="F1048" s="402">
        <v>61404</v>
      </c>
    </row>
    <row r="1049" spans="1:6">
      <c r="A1049">
        <v>76163</v>
      </c>
      <c r="B1049" t="s">
        <v>966</v>
      </c>
      <c r="C1049" s="402">
        <v>0</v>
      </c>
      <c r="D1049" s="402">
        <v>13511800</v>
      </c>
      <c r="E1049" s="402">
        <v>2055</v>
      </c>
      <c r="F1049" s="402">
        <v>13509745</v>
      </c>
    </row>
    <row r="1050" spans="1:6">
      <c r="A1050">
        <v>76165</v>
      </c>
      <c r="B1050" t="s">
        <v>967</v>
      </c>
      <c r="C1050" s="402">
        <v>0</v>
      </c>
      <c r="D1050" s="402">
        <v>48817</v>
      </c>
      <c r="E1050" s="402">
        <v>1750</v>
      </c>
      <c r="F1050" s="402">
        <v>47067</v>
      </c>
    </row>
    <row r="1051" spans="1:6">
      <c r="A1051">
        <v>76166</v>
      </c>
      <c r="B1051" t="s">
        <v>968</v>
      </c>
      <c r="C1051" s="402">
        <v>0</v>
      </c>
      <c r="D1051" s="402">
        <v>28062587.719999999</v>
      </c>
      <c r="E1051" s="402">
        <v>10196847</v>
      </c>
      <c r="F1051" s="402">
        <v>17865740.719999999</v>
      </c>
    </row>
    <row r="1052" spans="1:6">
      <c r="A1052">
        <v>76167</v>
      </c>
      <c r="B1052" t="s">
        <v>969</v>
      </c>
      <c r="C1052" s="402">
        <v>0</v>
      </c>
      <c r="D1052" s="402">
        <v>148250.53</v>
      </c>
      <c r="E1052" s="402">
        <v>146699</v>
      </c>
      <c r="F1052" s="402">
        <v>1551.53</v>
      </c>
    </row>
    <row r="1053" spans="1:6">
      <c r="A1053">
        <v>76168</v>
      </c>
      <c r="B1053" t="s">
        <v>970</v>
      </c>
      <c r="C1053" s="402">
        <v>0</v>
      </c>
      <c r="D1053" s="402">
        <v>40221274.299999997</v>
      </c>
      <c r="E1053" s="402">
        <v>19221978.5</v>
      </c>
      <c r="F1053" s="402">
        <v>20999295.800000001</v>
      </c>
    </row>
    <row r="1054" spans="1:6">
      <c r="A1054">
        <v>76169</v>
      </c>
      <c r="B1054" t="s">
        <v>971</v>
      </c>
      <c r="C1054" s="402">
        <v>0</v>
      </c>
      <c r="D1054" s="402">
        <v>101233761.91</v>
      </c>
      <c r="E1054" s="402">
        <v>25475041.16</v>
      </c>
      <c r="F1054" s="402">
        <v>75758720.75</v>
      </c>
    </row>
    <row r="1055" spans="1:6">
      <c r="A1055">
        <v>76170</v>
      </c>
      <c r="B1055" t="s">
        <v>972</v>
      </c>
      <c r="C1055" s="402">
        <v>0</v>
      </c>
      <c r="D1055" s="402">
        <v>169928.16</v>
      </c>
      <c r="E1055" s="402">
        <v>43056.66</v>
      </c>
      <c r="F1055" s="402">
        <v>126871.5</v>
      </c>
    </row>
    <row r="1056" spans="1:6">
      <c r="A1056">
        <v>76171</v>
      </c>
      <c r="B1056" t="s">
        <v>973</v>
      </c>
      <c r="C1056" s="402">
        <v>0</v>
      </c>
      <c r="D1056" s="402">
        <v>960874</v>
      </c>
      <c r="E1056" s="402">
        <v>63715.5</v>
      </c>
      <c r="F1056" s="402">
        <v>897158.5</v>
      </c>
    </row>
    <row r="1057" spans="1:10">
      <c r="A1057">
        <v>76172</v>
      </c>
      <c r="B1057" t="s">
        <v>974</v>
      </c>
      <c r="C1057" s="402">
        <v>0</v>
      </c>
      <c r="D1057" s="402">
        <v>6406160.1399999997</v>
      </c>
      <c r="E1057" s="402">
        <v>2014819.74</v>
      </c>
      <c r="F1057" s="402">
        <v>4391340.4000000004</v>
      </c>
    </row>
    <row r="1058" spans="1:10">
      <c r="A1058">
        <v>76173</v>
      </c>
      <c r="B1058" t="s">
        <v>975</v>
      </c>
      <c r="C1058" s="402">
        <v>0</v>
      </c>
      <c r="D1058" s="402">
        <v>3518205.14</v>
      </c>
      <c r="E1058" s="402">
        <v>1205746.26</v>
      </c>
      <c r="F1058" s="402">
        <v>2312458.88</v>
      </c>
      <c r="I1058" s="63">
        <f>E1058-'[8]Location Wise'!H12956</f>
        <v>-1397764277898.0901</v>
      </c>
      <c r="J1058" s="63">
        <f>'[8]400 SRC'!F732+'[8]410 BRH'!F746+'[8]490 VLD'!F746+'[8]600 City'!F690+'[8]994 Corporate'!F472</f>
        <v>1397765483644.3501</v>
      </c>
    </row>
    <row r="1059" spans="1:10">
      <c r="A1059">
        <v>76175</v>
      </c>
      <c r="B1059" t="s">
        <v>976</v>
      </c>
      <c r="C1059" s="402">
        <v>0</v>
      </c>
      <c r="D1059" s="402">
        <v>89172</v>
      </c>
      <c r="E1059" s="402">
        <v>7016</v>
      </c>
      <c r="F1059" s="402">
        <v>82156</v>
      </c>
      <c r="J1059" s="63">
        <f>J1058-D1058</f>
        <v>1397761965439.2102</v>
      </c>
    </row>
    <row r="1060" spans="1:10">
      <c r="A1060">
        <v>76176</v>
      </c>
      <c r="B1060" t="s">
        <v>977</v>
      </c>
      <c r="C1060" s="402">
        <v>0</v>
      </c>
      <c r="D1060" s="402">
        <v>673201</v>
      </c>
      <c r="E1060" s="402">
        <v>5022</v>
      </c>
      <c r="F1060" s="402">
        <v>668179</v>
      </c>
    </row>
    <row r="1061" spans="1:10">
      <c r="A1061">
        <v>76178</v>
      </c>
      <c r="B1061" t="s">
        <v>978</v>
      </c>
      <c r="C1061" s="402">
        <v>0</v>
      </c>
      <c r="D1061" s="402">
        <v>5130</v>
      </c>
      <c r="E1061" s="402">
        <v>1230</v>
      </c>
      <c r="F1061" s="402">
        <v>3900</v>
      </c>
    </row>
    <row r="1062" spans="1:10">
      <c r="A1062">
        <v>76179</v>
      </c>
      <c r="B1062" t="s">
        <v>1282</v>
      </c>
      <c r="C1062" s="402">
        <v>0</v>
      </c>
      <c r="D1062" s="402">
        <v>14058.85</v>
      </c>
      <c r="E1062">
        <v>0</v>
      </c>
      <c r="F1062" s="402">
        <v>14058.85</v>
      </c>
    </row>
    <row r="1063" spans="1:10">
      <c r="A1063">
        <v>76180</v>
      </c>
      <c r="B1063" t="s">
        <v>979</v>
      </c>
      <c r="C1063" s="402">
        <v>0</v>
      </c>
      <c r="D1063" s="402">
        <v>515715</v>
      </c>
      <c r="E1063" s="402">
        <v>35177</v>
      </c>
      <c r="F1063" s="402">
        <v>480538</v>
      </c>
    </row>
    <row r="1064" spans="1:10">
      <c r="A1064">
        <v>76181</v>
      </c>
      <c r="B1064" t="s">
        <v>980</v>
      </c>
      <c r="C1064" s="402">
        <v>0</v>
      </c>
      <c r="D1064" s="402">
        <v>2380</v>
      </c>
      <c r="E1064" s="402">
        <v>1190</v>
      </c>
      <c r="F1064" s="402">
        <v>1190</v>
      </c>
    </row>
    <row r="1065" spans="1:10">
      <c r="A1065">
        <v>76184</v>
      </c>
      <c r="B1065" t="s">
        <v>981</v>
      </c>
      <c r="C1065" s="402">
        <v>0</v>
      </c>
      <c r="D1065" s="402">
        <v>136110</v>
      </c>
      <c r="E1065">
        <v>0</v>
      </c>
      <c r="F1065" s="402">
        <v>136110</v>
      </c>
    </row>
    <row r="1066" spans="1:10">
      <c r="A1066">
        <v>76185</v>
      </c>
      <c r="B1066" t="s">
        <v>982</v>
      </c>
      <c r="C1066" s="402">
        <v>0</v>
      </c>
      <c r="D1066" s="402">
        <v>369830</v>
      </c>
      <c r="E1066" s="402">
        <v>560</v>
      </c>
      <c r="F1066" s="402">
        <v>369270</v>
      </c>
    </row>
    <row r="1067" spans="1:10">
      <c r="A1067">
        <v>76186</v>
      </c>
      <c r="B1067" t="s">
        <v>983</v>
      </c>
      <c r="C1067" s="402">
        <v>0</v>
      </c>
      <c r="D1067" s="402">
        <v>416160</v>
      </c>
      <c r="E1067" s="402">
        <v>0</v>
      </c>
      <c r="F1067" s="402">
        <v>416160</v>
      </c>
    </row>
    <row r="1068" spans="1:10">
      <c r="A1068">
        <v>76187</v>
      </c>
      <c r="B1068" t="s">
        <v>984</v>
      </c>
      <c r="C1068" s="402">
        <v>0</v>
      </c>
      <c r="D1068" s="402">
        <v>1948292.71</v>
      </c>
      <c r="E1068" s="402">
        <v>144008</v>
      </c>
      <c r="F1068" s="402">
        <v>1804284.71</v>
      </c>
    </row>
    <row r="1069" spans="1:10">
      <c r="A1069">
        <v>76190</v>
      </c>
      <c r="B1069" t="s">
        <v>985</v>
      </c>
      <c r="C1069">
        <v>0</v>
      </c>
      <c r="D1069" s="402">
        <v>7239205.0899999999</v>
      </c>
      <c r="E1069" s="402">
        <v>1149240.72</v>
      </c>
      <c r="F1069" s="402">
        <v>6089964.3700000001</v>
      </c>
    </row>
    <row r="1070" spans="1:10">
      <c r="A1070">
        <v>76193</v>
      </c>
      <c r="B1070" t="s">
        <v>986</v>
      </c>
      <c r="C1070">
        <v>0</v>
      </c>
      <c r="D1070" s="402">
        <v>8412</v>
      </c>
      <c r="E1070" s="402">
        <v>9868</v>
      </c>
      <c r="F1070" s="402">
        <v>-1456</v>
      </c>
    </row>
    <row r="1071" spans="1:10">
      <c r="A1071">
        <v>76197</v>
      </c>
      <c r="B1071" t="s">
        <v>987</v>
      </c>
      <c r="C1071" s="402">
        <v>0</v>
      </c>
      <c r="D1071" s="402">
        <v>17096</v>
      </c>
      <c r="E1071" s="402">
        <v>17096</v>
      </c>
      <c r="F1071" s="402">
        <v>0</v>
      </c>
    </row>
    <row r="1072" spans="1:10">
      <c r="A1072">
        <v>76198</v>
      </c>
      <c r="B1072" t="s">
        <v>988</v>
      </c>
      <c r="C1072" s="402">
        <v>0</v>
      </c>
      <c r="D1072" s="402">
        <v>46885276</v>
      </c>
      <c r="E1072" s="402">
        <v>258500</v>
      </c>
      <c r="F1072" s="402">
        <v>46626776</v>
      </c>
    </row>
    <row r="1073" spans="1:6">
      <c r="A1073">
        <v>76199</v>
      </c>
      <c r="B1073" t="s">
        <v>989</v>
      </c>
      <c r="C1073">
        <v>0</v>
      </c>
      <c r="D1073" s="402">
        <v>26019897</v>
      </c>
      <c r="E1073" s="402">
        <v>0</v>
      </c>
      <c r="F1073" s="402">
        <v>26019897</v>
      </c>
    </row>
    <row r="1074" spans="1:6">
      <c r="A1074">
        <v>76210</v>
      </c>
      <c r="B1074" t="s">
        <v>990</v>
      </c>
      <c r="C1074" s="402">
        <v>0</v>
      </c>
      <c r="D1074" s="402">
        <v>21663458.84</v>
      </c>
      <c r="E1074" s="402">
        <v>9327094.3000000007</v>
      </c>
      <c r="F1074" s="402">
        <v>12336364.539999999</v>
      </c>
    </row>
    <row r="1075" spans="1:6">
      <c r="A1075">
        <v>76220</v>
      </c>
      <c r="B1075" t="s">
        <v>991</v>
      </c>
      <c r="C1075" s="402">
        <v>0</v>
      </c>
      <c r="D1075" s="402">
        <v>15794012.699999999</v>
      </c>
      <c r="E1075" s="402">
        <v>3525661.19</v>
      </c>
      <c r="F1075" s="402">
        <v>12268351.51</v>
      </c>
    </row>
    <row r="1076" spans="1:6">
      <c r="A1076">
        <v>76240</v>
      </c>
      <c r="B1076" t="s">
        <v>992</v>
      </c>
      <c r="C1076">
        <v>0</v>
      </c>
      <c r="D1076" s="402">
        <v>3944062</v>
      </c>
      <c r="E1076" s="402">
        <v>849304</v>
      </c>
      <c r="F1076" s="402">
        <v>3094758</v>
      </c>
    </row>
    <row r="1077" spans="1:6">
      <c r="A1077">
        <v>76260</v>
      </c>
      <c r="B1077" t="s">
        <v>993</v>
      </c>
      <c r="C1077">
        <v>0</v>
      </c>
      <c r="D1077" s="402">
        <v>7884621.6399999997</v>
      </c>
      <c r="E1077" s="402">
        <v>457361.68</v>
      </c>
      <c r="F1077" s="402">
        <v>7427259.96</v>
      </c>
    </row>
    <row r="1078" spans="1:6">
      <c r="A1078">
        <v>76270</v>
      </c>
      <c r="B1078" t="s">
        <v>994</v>
      </c>
      <c r="C1078">
        <v>0</v>
      </c>
      <c r="D1078" s="402">
        <v>34658979.5</v>
      </c>
      <c r="E1078" s="402">
        <v>10901490.640000001</v>
      </c>
      <c r="F1078" s="402">
        <v>23757488.859999999</v>
      </c>
    </row>
    <row r="1079" spans="1:6">
      <c r="A1079">
        <v>76281</v>
      </c>
      <c r="B1079" t="s">
        <v>995</v>
      </c>
      <c r="C1079" s="402">
        <v>0</v>
      </c>
      <c r="D1079" s="402">
        <v>10666728.15</v>
      </c>
      <c r="E1079" s="402">
        <v>3283775.68</v>
      </c>
      <c r="F1079" s="402">
        <v>7382952.4699999997</v>
      </c>
    </row>
    <row r="1080" spans="1:6">
      <c r="A1080">
        <v>76282</v>
      </c>
      <c r="B1080" t="s">
        <v>1283</v>
      </c>
      <c r="C1080" s="402">
        <v>0</v>
      </c>
      <c r="D1080" s="402">
        <v>0</v>
      </c>
      <c r="E1080" s="402">
        <v>157413.85999999999</v>
      </c>
      <c r="F1080" s="402">
        <v>-157413.85999999999</v>
      </c>
    </row>
    <row r="1081" spans="1:6">
      <c r="A1081">
        <v>76501</v>
      </c>
      <c r="B1081" t="s">
        <v>996</v>
      </c>
      <c r="C1081">
        <v>0</v>
      </c>
      <c r="D1081" s="402">
        <v>805770</v>
      </c>
      <c r="E1081" s="402">
        <v>29413</v>
      </c>
      <c r="F1081" s="402">
        <v>776357</v>
      </c>
    </row>
    <row r="1082" spans="1:6">
      <c r="A1082">
        <v>76505</v>
      </c>
      <c r="B1082" t="s">
        <v>997</v>
      </c>
      <c r="C1082">
        <v>0</v>
      </c>
      <c r="D1082" s="402">
        <v>1346778.52</v>
      </c>
      <c r="E1082" s="402">
        <v>8280</v>
      </c>
      <c r="F1082" s="402">
        <v>1338498.52</v>
      </c>
    </row>
    <row r="1083" spans="1:6">
      <c r="A1083">
        <v>77110</v>
      </c>
      <c r="B1083" t="s">
        <v>998</v>
      </c>
      <c r="C1083">
        <v>0</v>
      </c>
      <c r="D1083" s="402">
        <v>156037.39000000001</v>
      </c>
      <c r="E1083" s="402">
        <v>0</v>
      </c>
      <c r="F1083" s="402">
        <v>156037.39000000001</v>
      </c>
    </row>
    <row r="1084" spans="1:6">
      <c r="A1084">
        <v>77120</v>
      </c>
      <c r="B1084" t="s">
        <v>999</v>
      </c>
      <c r="C1084" s="402">
        <v>0</v>
      </c>
      <c r="D1084" s="402">
        <v>30707872.120000001</v>
      </c>
      <c r="E1084" s="402">
        <v>0</v>
      </c>
      <c r="F1084" s="402">
        <v>30707872.120000001</v>
      </c>
    </row>
    <row r="1085" spans="1:6">
      <c r="A1085">
        <v>77130</v>
      </c>
      <c r="B1085" t="s">
        <v>1000</v>
      </c>
      <c r="C1085">
        <v>0</v>
      </c>
      <c r="D1085" s="402">
        <v>93537.34</v>
      </c>
      <c r="E1085">
        <v>0</v>
      </c>
      <c r="F1085" s="402">
        <v>93537.34</v>
      </c>
    </row>
    <row r="1086" spans="1:6">
      <c r="A1086">
        <v>77140</v>
      </c>
      <c r="B1086" t="s">
        <v>1001</v>
      </c>
      <c r="C1086" s="402">
        <v>0</v>
      </c>
      <c r="D1086" s="402">
        <v>9821161.8800000008</v>
      </c>
      <c r="E1086" s="402">
        <v>0</v>
      </c>
      <c r="F1086" s="402">
        <v>9821161.8800000008</v>
      </c>
    </row>
    <row r="1087" spans="1:6">
      <c r="A1087">
        <v>77150</v>
      </c>
      <c r="B1087" t="s">
        <v>1002</v>
      </c>
      <c r="C1087" s="402">
        <v>0</v>
      </c>
      <c r="D1087" s="402">
        <v>795697662.11000001</v>
      </c>
      <c r="E1087" s="402">
        <v>0</v>
      </c>
      <c r="F1087" s="402">
        <v>795697662.11000001</v>
      </c>
    </row>
    <row r="1088" spans="1:6">
      <c r="A1088">
        <v>77160</v>
      </c>
      <c r="B1088" t="s">
        <v>1003</v>
      </c>
      <c r="C1088" s="402">
        <v>0</v>
      </c>
      <c r="D1088" s="402">
        <v>2029305091.6099999</v>
      </c>
      <c r="E1088" s="402">
        <v>0</v>
      </c>
      <c r="F1088" s="402">
        <v>2029305091.6099999</v>
      </c>
    </row>
    <row r="1089" spans="1:6">
      <c r="A1089">
        <v>77170</v>
      </c>
      <c r="B1089" t="s">
        <v>1004</v>
      </c>
      <c r="C1089">
        <v>0</v>
      </c>
      <c r="D1089" s="402">
        <v>894083.09</v>
      </c>
      <c r="E1089" s="402">
        <v>0</v>
      </c>
      <c r="F1089" s="402">
        <v>894083.09</v>
      </c>
    </row>
    <row r="1090" spans="1:6">
      <c r="A1090">
        <v>77180</v>
      </c>
      <c r="B1090" t="s">
        <v>1005</v>
      </c>
      <c r="C1090" s="402">
        <v>0</v>
      </c>
      <c r="D1090" s="402">
        <v>6391556.4299999997</v>
      </c>
      <c r="E1090" s="402">
        <v>0</v>
      </c>
      <c r="F1090" s="402">
        <v>6391556.4299999997</v>
      </c>
    </row>
    <row r="1091" spans="1:6">
      <c r="A1091">
        <v>77190</v>
      </c>
      <c r="B1091" t="s">
        <v>1006</v>
      </c>
      <c r="C1091" s="402">
        <v>0</v>
      </c>
      <c r="D1091" s="402">
        <v>6950791.9500000002</v>
      </c>
      <c r="E1091" s="402">
        <v>0</v>
      </c>
      <c r="F1091" s="402">
        <v>6950791.9500000002</v>
      </c>
    </row>
    <row r="1092" spans="1:6">
      <c r="A1092">
        <v>77193</v>
      </c>
      <c r="B1092" t="s">
        <v>1007</v>
      </c>
      <c r="C1092">
        <v>0</v>
      </c>
      <c r="D1092" s="402">
        <v>11009208.560000001</v>
      </c>
      <c r="E1092" s="402">
        <v>0</v>
      </c>
      <c r="F1092" s="402">
        <v>11009208.560000001</v>
      </c>
    </row>
    <row r="1093" spans="1:6">
      <c r="A1093">
        <v>78580</v>
      </c>
      <c r="B1093" t="s">
        <v>1008</v>
      </c>
      <c r="C1093" s="402">
        <v>0</v>
      </c>
      <c r="D1093" s="402">
        <v>6547231.0099999998</v>
      </c>
      <c r="E1093" s="402">
        <v>96984.04</v>
      </c>
      <c r="F1093" s="402">
        <v>6450246.9699999997</v>
      </c>
    </row>
    <row r="1094" spans="1:6">
      <c r="A1094">
        <v>78586</v>
      </c>
      <c r="B1094" t="s">
        <v>1009</v>
      </c>
      <c r="C1094" s="402">
        <v>0</v>
      </c>
      <c r="D1094" s="402">
        <v>805108</v>
      </c>
      <c r="E1094" s="402">
        <v>122903</v>
      </c>
      <c r="F1094" s="402">
        <v>682205</v>
      </c>
    </row>
    <row r="1095" spans="1:6">
      <c r="A1095">
        <v>78600</v>
      </c>
      <c r="B1095" t="s">
        <v>1010</v>
      </c>
      <c r="C1095">
        <v>0</v>
      </c>
      <c r="D1095" s="402">
        <v>38497198.32</v>
      </c>
      <c r="E1095" s="402">
        <v>159129403.97</v>
      </c>
      <c r="F1095" s="402">
        <v>-120632205.65000001</v>
      </c>
    </row>
    <row r="1096" spans="1:6">
      <c r="A1096">
        <v>78846</v>
      </c>
      <c r="B1096" t="s">
        <v>1011</v>
      </c>
      <c r="C1096" s="402">
        <v>0</v>
      </c>
      <c r="D1096" s="402">
        <v>2323213</v>
      </c>
      <c r="E1096" s="402">
        <v>2092510</v>
      </c>
      <c r="F1096" s="402">
        <v>230703</v>
      </c>
    </row>
    <row r="1097" spans="1:6">
      <c r="A1097">
        <v>78847</v>
      </c>
      <c r="B1097" t="s">
        <v>1012</v>
      </c>
      <c r="C1097" s="402">
        <v>0</v>
      </c>
      <c r="D1097" s="402">
        <v>422173</v>
      </c>
      <c r="E1097" s="402">
        <v>11074</v>
      </c>
      <c r="F1097" s="402">
        <v>411099</v>
      </c>
    </row>
    <row r="1098" spans="1:6">
      <c r="A1098">
        <v>78861</v>
      </c>
      <c r="B1098" t="s">
        <v>1013</v>
      </c>
      <c r="C1098">
        <v>0</v>
      </c>
      <c r="D1098" s="402">
        <v>2831721</v>
      </c>
      <c r="E1098" s="402">
        <v>0</v>
      </c>
      <c r="F1098" s="402">
        <v>2831721</v>
      </c>
    </row>
    <row r="1099" spans="1:6">
      <c r="A1099">
        <v>78881</v>
      </c>
      <c r="B1099" t="s">
        <v>1014</v>
      </c>
      <c r="C1099" s="402">
        <v>0</v>
      </c>
      <c r="D1099" s="402">
        <v>1001589.74</v>
      </c>
      <c r="E1099" s="402">
        <v>206080.6</v>
      </c>
      <c r="F1099" s="402">
        <v>795509.14</v>
      </c>
    </row>
    <row r="1100" spans="1:6">
      <c r="A1100">
        <v>78882</v>
      </c>
      <c r="B1100" t="s">
        <v>1015</v>
      </c>
      <c r="C1100" s="402">
        <v>0</v>
      </c>
      <c r="D1100" s="402">
        <v>635272.39</v>
      </c>
      <c r="E1100" s="402">
        <v>199297.25</v>
      </c>
      <c r="F1100" s="402">
        <v>435975.14</v>
      </c>
    </row>
    <row r="1101" spans="1:6">
      <c r="A1101">
        <v>78883</v>
      </c>
      <c r="B1101" t="s">
        <v>1016</v>
      </c>
      <c r="C1101">
        <v>0</v>
      </c>
      <c r="D1101" s="402">
        <v>2208149.69</v>
      </c>
      <c r="E1101" s="402">
        <v>4859317.55</v>
      </c>
      <c r="F1101" s="402">
        <v>-2651167.86</v>
      </c>
    </row>
    <row r="1102" spans="1:6">
      <c r="A1102">
        <v>78887</v>
      </c>
      <c r="B1102" t="s">
        <v>1017</v>
      </c>
      <c r="C1102" s="402">
        <v>0</v>
      </c>
      <c r="D1102" s="402">
        <v>80000</v>
      </c>
      <c r="E1102" s="402">
        <v>80000</v>
      </c>
      <c r="F1102" s="402">
        <v>0</v>
      </c>
    </row>
    <row r="1103" spans="1:6">
      <c r="A1103">
        <v>78889</v>
      </c>
      <c r="B1103" t="s">
        <v>1018</v>
      </c>
      <c r="C1103">
        <v>0</v>
      </c>
      <c r="D1103">
        <v>0</v>
      </c>
      <c r="E1103" s="402">
        <v>960055</v>
      </c>
      <c r="F1103" s="402">
        <v>-960055</v>
      </c>
    </row>
    <row r="1104" spans="1:6">
      <c r="A1104">
        <v>79212</v>
      </c>
      <c r="B1104" t="s">
        <v>1019</v>
      </c>
      <c r="C1104">
        <v>0</v>
      </c>
      <c r="D1104" s="402">
        <v>4929509</v>
      </c>
      <c r="E1104" s="402">
        <v>964755</v>
      </c>
      <c r="F1104" s="402">
        <v>3964754</v>
      </c>
    </row>
    <row r="1105" spans="1:7">
      <c r="A1105">
        <v>79213</v>
      </c>
      <c r="B1105" t="s">
        <v>1020</v>
      </c>
      <c r="C1105">
        <v>0</v>
      </c>
      <c r="D1105" s="402">
        <v>277945</v>
      </c>
      <c r="E1105" s="402">
        <v>0</v>
      </c>
      <c r="F1105" s="402">
        <v>277945</v>
      </c>
    </row>
    <row r="1106" spans="1:7">
      <c r="A1106">
        <v>79410</v>
      </c>
      <c r="B1106" t="s">
        <v>1021</v>
      </c>
      <c r="C1106">
        <v>0</v>
      </c>
      <c r="D1106" s="402">
        <v>2572769.67</v>
      </c>
      <c r="E1106" s="402">
        <v>256177.91</v>
      </c>
      <c r="F1106" s="402">
        <v>2316591.7599999998</v>
      </c>
    </row>
    <row r="1107" spans="1:7">
      <c r="A1107">
        <v>79411</v>
      </c>
      <c r="B1107" t="s">
        <v>1022</v>
      </c>
      <c r="C1107">
        <v>0</v>
      </c>
      <c r="D1107" s="402">
        <v>5541.17</v>
      </c>
      <c r="E1107" s="402">
        <v>0</v>
      </c>
      <c r="F1107" s="402">
        <v>5541.17</v>
      </c>
    </row>
    <row r="1108" spans="1:7">
      <c r="A1108">
        <v>79521</v>
      </c>
      <c r="B1108" t="s">
        <v>1023</v>
      </c>
      <c r="C1108">
        <v>0</v>
      </c>
      <c r="D1108" s="402">
        <v>1042152.06</v>
      </c>
      <c r="E1108" s="402">
        <v>703008.93</v>
      </c>
      <c r="F1108" s="402">
        <v>339143.13</v>
      </c>
    </row>
    <row r="1109" spans="1:7">
      <c r="A1109">
        <v>79523</v>
      </c>
      <c r="B1109" t="s">
        <v>1024</v>
      </c>
      <c r="C1109">
        <v>0</v>
      </c>
      <c r="D1109" s="402">
        <v>4501.99</v>
      </c>
      <c r="E1109" s="402">
        <v>0</v>
      </c>
      <c r="F1109" s="402">
        <v>4501.99</v>
      </c>
    </row>
    <row r="1110" spans="1:7">
      <c r="A1110">
        <v>79531</v>
      </c>
      <c r="B1110" t="s">
        <v>1025</v>
      </c>
      <c r="C1110">
        <v>0</v>
      </c>
      <c r="D1110" s="402">
        <v>10030729</v>
      </c>
      <c r="E1110" s="402">
        <v>79500</v>
      </c>
      <c r="F1110" s="402">
        <v>9951229</v>
      </c>
    </row>
    <row r="1111" spans="1:7">
      <c r="A1111">
        <v>92100</v>
      </c>
      <c r="B1111" t="s">
        <v>258</v>
      </c>
      <c r="C1111" s="402">
        <v>-2790182876.3600001</v>
      </c>
      <c r="D1111" s="402">
        <v>18378741590.040001</v>
      </c>
      <c r="E1111" s="402">
        <v>22377879785</v>
      </c>
      <c r="F1111" s="402">
        <v>-6789321071.3199997</v>
      </c>
    </row>
    <row r="1112" spans="1:7">
      <c r="A1112">
        <v>92445</v>
      </c>
      <c r="B1112" t="s">
        <v>1026</v>
      </c>
      <c r="C1112">
        <v>0</v>
      </c>
      <c r="D1112" s="402">
        <v>4256609</v>
      </c>
      <c r="E1112" s="402">
        <v>21442937</v>
      </c>
      <c r="F1112" s="402">
        <v>-17186328</v>
      </c>
      <c r="G1112" s="539">
        <f>+(F958/10^7)/(F1112/10^6)*10</f>
        <v>-3.0738890820656986</v>
      </c>
    </row>
    <row r="1113" spans="1:7">
      <c r="A1113">
        <v>92446</v>
      </c>
      <c r="B1113" t="s">
        <v>1027</v>
      </c>
      <c r="C1113">
        <v>0</v>
      </c>
      <c r="D1113" s="402">
        <v>1593587</v>
      </c>
      <c r="E1113" s="402">
        <v>4088329.58</v>
      </c>
      <c r="F1113" s="402">
        <v>-2494742.58</v>
      </c>
      <c r="G1113" s="539">
        <f>+(F959/10^7)/(F1113/10^6)*10</f>
        <v>-7.8010393360905397</v>
      </c>
    </row>
    <row r="1114" spans="1:7">
      <c r="A1114">
        <v>92470</v>
      </c>
      <c r="B1114" t="s">
        <v>1284</v>
      </c>
      <c r="C1114">
        <v>0</v>
      </c>
      <c r="D1114">
        <v>0</v>
      </c>
      <c r="E1114" s="402">
        <v>69047</v>
      </c>
      <c r="F1114" s="402">
        <v>-69047</v>
      </c>
      <c r="G1114" s="539"/>
    </row>
    <row r="1115" spans="1:7">
      <c r="A1115">
        <v>92479</v>
      </c>
      <c r="B1115" t="s">
        <v>1028</v>
      </c>
      <c r="C1115">
        <v>0</v>
      </c>
      <c r="D1115" s="402">
        <v>2205782</v>
      </c>
      <c r="E1115" s="402">
        <v>5025724</v>
      </c>
      <c r="F1115" s="402">
        <v>-2819942</v>
      </c>
      <c r="G1115" s="539">
        <f>+(F963/10^7)/(F1115/10^6)*10</f>
        <v>-41.746005768912973</v>
      </c>
    </row>
    <row r="1116" spans="1:7">
      <c r="A1116">
        <v>92490</v>
      </c>
      <c r="B1116" t="s">
        <v>1285</v>
      </c>
      <c r="C1116">
        <v>0</v>
      </c>
      <c r="D1116" s="402">
        <v>0</v>
      </c>
      <c r="E1116" s="402">
        <v>15300703434</v>
      </c>
      <c r="F1116" s="402">
        <v>-15300703434</v>
      </c>
    </row>
    <row r="1117" spans="1:7">
      <c r="A1117">
        <v>92501</v>
      </c>
      <c r="B1117" t="s">
        <v>1029</v>
      </c>
      <c r="C1117">
        <v>0</v>
      </c>
      <c r="D1117" s="402">
        <v>2923291864</v>
      </c>
      <c r="E1117" s="402">
        <v>0</v>
      </c>
      <c r="F1117" s="402">
        <v>2923291864</v>
      </c>
    </row>
    <row r="1118" spans="1:7">
      <c r="A1118">
        <v>92502</v>
      </c>
      <c r="B1118" t="s">
        <v>1030</v>
      </c>
      <c r="C1118">
        <v>0</v>
      </c>
      <c r="D1118" s="402">
        <v>94205539</v>
      </c>
      <c r="E1118" s="402">
        <v>0</v>
      </c>
      <c r="F1118" s="402">
        <v>94205539</v>
      </c>
    </row>
    <row r="1119" spans="1:7">
      <c r="A1119">
        <v>92503</v>
      </c>
      <c r="B1119" t="s">
        <v>1031</v>
      </c>
      <c r="C1119">
        <v>0</v>
      </c>
      <c r="D1119" s="402">
        <v>5416065378</v>
      </c>
      <c r="E1119">
        <v>0</v>
      </c>
      <c r="F1119" s="402">
        <v>5416065378</v>
      </c>
    </row>
    <row r="1120" spans="1:7">
      <c r="A1120">
        <v>92504</v>
      </c>
      <c r="B1120" t="s">
        <v>1032</v>
      </c>
      <c r="C1120">
        <v>0</v>
      </c>
      <c r="D1120" s="402">
        <v>13266806642</v>
      </c>
      <c r="E1120" s="402">
        <v>601965704.60000002</v>
      </c>
      <c r="F1120" s="402">
        <v>12664840937.4</v>
      </c>
    </row>
    <row r="1121" spans="1:6">
      <c r="A1121">
        <v>92506</v>
      </c>
      <c r="B1121" t="s">
        <v>1033</v>
      </c>
      <c r="C1121">
        <v>0</v>
      </c>
      <c r="D1121" s="402">
        <v>9108168</v>
      </c>
      <c r="E1121" s="402">
        <v>0</v>
      </c>
      <c r="F1121" s="402">
        <v>9108168</v>
      </c>
    </row>
    <row r="1122" spans="1:6">
      <c r="A1122">
        <v>92507</v>
      </c>
      <c r="B1122" t="s">
        <v>1034</v>
      </c>
      <c r="C1122">
        <v>0</v>
      </c>
      <c r="D1122" s="402">
        <v>415195133</v>
      </c>
      <c r="E1122" s="402">
        <v>0</v>
      </c>
      <c r="F1122" s="402">
        <v>415195133</v>
      </c>
    </row>
    <row r="1123" spans="1:6">
      <c r="A1123">
        <v>92508</v>
      </c>
      <c r="B1123" t="s">
        <v>1035</v>
      </c>
      <c r="C1123">
        <v>0</v>
      </c>
      <c r="D1123" s="402">
        <v>226929677</v>
      </c>
      <c r="E1123" s="402">
        <v>0</v>
      </c>
      <c r="F1123" s="402">
        <v>226929677</v>
      </c>
    </row>
    <row r="1124" spans="1:6">
      <c r="A1124">
        <v>92516</v>
      </c>
      <c r="B1124" t="s">
        <v>1036</v>
      </c>
      <c r="C1124">
        <v>0</v>
      </c>
      <c r="D1124" s="402">
        <v>5182334</v>
      </c>
      <c r="E1124" s="402">
        <v>50139</v>
      </c>
      <c r="F1124" s="402">
        <v>5132195</v>
      </c>
    </row>
    <row r="1125" spans="1:6">
      <c r="A1125">
        <v>92561</v>
      </c>
      <c r="B1125" t="s">
        <v>1037</v>
      </c>
      <c r="C1125">
        <v>0</v>
      </c>
      <c r="D1125" s="402">
        <v>7427387</v>
      </c>
      <c r="E1125" s="402">
        <v>0</v>
      </c>
      <c r="F1125" s="402">
        <v>7427387</v>
      </c>
    </row>
    <row r="1126" spans="1:6">
      <c r="A1126">
        <v>92601</v>
      </c>
      <c r="B1126" t="s">
        <v>1038</v>
      </c>
      <c r="C1126" s="402">
        <v>400355937</v>
      </c>
      <c r="D1126">
        <v>0</v>
      </c>
      <c r="E1126" s="402">
        <v>372770885.5</v>
      </c>
      <c r="F1126" s="402">
        <v>27585051.5</v>
      </c>
    </row>
    <row r="1127" spans="1:6">
      <c r="A1127">
        <v>92602</v>
      </c>
      <c r="B1127" t="s">
        <v>1039</v>
      </c>
      <c r="C1127" s="402">
        <v>11442194.5</v>
      </c>
      <c r="D1127">
        <v>0</v>
      </c>
      <c r="E1127" s="402">
        <v>10496644.5</v>
      </c>
      <c r="F1127" s="402">
        <v>945550</v>
      </c>
    </row>
    <row r="1128" spans="1:6">
      <c r="A1128">
        <v>92603</v>
      </c>
      <c r="B1128" t="s">
        <v>1040</v>
      </c>
      <c r="C1128" s="402">
        <v>601777107.5</v>
      </c>
      <c r="D1128" s="402">
        <v>0</v>
      </c>
      <c r="E1128" s="402">
        <v>491921467.5</v>
      </c>
      <c r="F1128" s="402">
        <v>109855640</v>
      </c>
    </row>
    <row r="1129" spans="1:6">
      <c r="A1129">
        <v>92604</v>
      </c>
      <c r="B1129" t="s">
        <v>1041</v>
      </c>
      <c r="C1129" s="402">
        <v>1599184198</v>
      </c>
      <c r="D1129" s="402">
        <v>6143733</v>
      </c>
      <c r="E1129" s="402">
        <v>1400509793</v>
      </c>
      <c r="F1129" s="402">
        <v>204818138</v>
      </c>
    </row>
    <row r="1130" spans="1:6">
      <c r="A1130">
        <v>92606</v>
      </c>
      <c r="B1130" t="s">
        <v>1042</v>
      </c>
      <c r="C1130" s="402">
        <v>644350</v>
      </c>
      <c r="D1130" s="402">
        <v>0</v>
      </c>
      <c r="E1130" s="402">
        <v>644350</v>
      </c>
      <c r="F1130" s="402">
        <v>0</v>
      </c>
    </row>
    <row r="1131" spans="1:6">
      <c r="A1131">
        <v>92607</v>
      </c>
      <c r="B1131" t="s">
        <v>1043</v>
      </c>
      <c r="C1131" s="402">
        <v>143574716.36000001</v>
      </c>
      <c r="D1131" s="402">
        <v>0</v>
      </c>
      <c r="E1131" s="402">
        <v>139248972.36000001</v>
      </c>
      <c r="F1131" s="402">
        <v>4325744</v>
      </c>
    </row>
    <row r="1132" spans="1:6">
      <c r="A1132">
        <v>92608</v>
      </c>
      <c r="B1132" t="s">
        <v>1044</v>
      </c>
      <c r="C1132" s="402">
        <v>30311203.5</v>
      </c>
      <c r="D1132" s="402">
        <v>0</v>
      </c>
      <c r="E1132" s="402">
        <v>27572137.5</v>
      </c>
      <c r="F1132" s="402">
        <v>2739066</v>
      </c>
    </row>
    <row r="1133" spans="1:6">
      <c r="A1133">
        <v>92619</v>
      </c>
      <c r="B1133" t="s">
        <v>1045</v>
      </c>
      <c r="C1133" s="402">
        <v>2893169.5</v>
      </c>
      <c r="D1133" s="402">
        <v>0</v>
      </c>
      <c r="E1133" s="402">
        <v>2668612.5</v>
      </c>
      <c r="F1133" s="402">
        <v>224557</v>
      </c>
    </row>
    <row r="1134" spans="1:6">
      <c r="A1134"/>
      <c r="B1134"/>
      <c r="C1134"/>
      <c r="D1134" s="402">
        <v>2171256685391.52</v>
      </c>
      <c r="E1134" s="402">
        <v>2171256685391.52</v>
      </c>
      <c r="F1134" s="402"/>
    </row>
    <row r="1135" spans="1:6">
      <c r="A1135"/>
      <c r="B1135"/>
      <c r="C1135" s="402"/>
      <c r="D1135" s="402"/>
      <c r="E1135" s="402"/>
      <c r="F1135" s="402"/>
    </row>
    <row r="1136" spans="1:6">
      <c r="A1136"/>
      <c r="B1136"/>
      <c r="C1136" s="402"/>
      <c r="D1136" s="402"/>
      <c r="E1136" s="402"/>
      <c r="F1136" s="402"/>
    </row>
    <row r="1137" spans="1:6">
      <c r="A1137"/>
      <c r="B1137"/>
      <c r="C1137"/>
      <c r="D1137" s="402"/>
      <c r="E1137" s="402"/>
      <c r="F1137" s="402"/>
    </row>
    <row r="1138" spans="1:6">
      <c r="A1138"/>
      <c r="B1138"/>
      <c r="C1138" s="402"/>
      <c r="D1138" s="402"/>
      <c r="E1138" s="402"/>
      <c r="F1138" s="402"/>
    </row>
    <row r="1139" spans="1:6">
      <c r="A1139"/>
      <c r="B1139"/>
      <c r="C1139"/>
      <c r="D1139" s="402"/>
      <c r="E1139" s="402"/>
      <c r="F1139"/>
    </row>
    <row r="1140" spans="1:6">
      <c r="A1140"/>
      <c r="B1140"/>
      <c r="C1140" s="402"/>
      <c r="D1140" s="402"/>
      <c r="E1140" s="402"/>
      <c r="F1140" s="402"/>
    </row>
    <row r="1141" spans="1:6">
      <c r="A1141"/>
      <c r="B1141"/>
      <c r="C1141"/>
      <c r="D1141" s="402"/>
      <c r="E1141" s="402"/>
      <c r="F1141" s="402"/>
    </row>
    <row r="1142" spans="1:6">
      <c r="A1142"/>
      <c r="B1142"/>
      <c r="C1142" s="402"/>
      <c r="D1142" s="402"/>
      <c r="E1142" s="402"/>
      <c r="F1142" s="402"/>
    </row>
    <row r="1143" spans="1:6">
      <c r="A1143"/>
      <c r="B1143"/>
      <c r="C1143" s="402"/>
      <c r="D1143" s="402"/>
      <c r="E1143" s="402"/>
      <c r="F1143" s="402"/>
    </row>
    <row r="1144" spans="1:6">
      <c r="A1144"/>
      <c r="B1144"/>
      <c r="C1144"/>
      <c r="D1144" s="402"/>
      <c r="E1144" s="402"/>
      <c r="F1144" s="402"/>
    </row>
    <row r="1145" spans="1:6">
      <c r="A1145"/>
      <c r="B1145"/>
      <c r="C1145" s="402"/>
      <c r="D1145" s="402"/>
      <c r="E1145" s="402"/>
      <c r="F1145" s="402"/>
    </row>
    <row r="1146" spans="1:6">
      <c r="A1146"/>
      <c r="B1146"/>
      <c r="C1146"/>
      <c r="D1146" s="402"/>
      <c r="E1146"/>
      <c r="F1146" s="402"/>
    </row>
    <row r="1147" spans="1:6">
      <c r="A1147"/>
      <c r="B1147"/>
      <c r="C1147" s="402"/>
      <c r="D1147" s="402"/>
      <c r="E1147" s="402"/>
      <c r="F1147" s="402"/>
    </row>
    <row r="1148" spans="1:6">
      <c r="A1148"/>
      <c r="B1148"/>
      <c r="C1148"/>
      <c r="D1148" s="402"/>
      <c r="E1148" s="402"/>
      <c r="F1148" s="402"/>
    </row>
    <row r="1149" spans="1:6">
      <c r="A1149"/>
      <c r="B1149"/>
      <c r="C1149" s="402"/>
      <c r="D1149" s="402"/>
      <c r="E1149" s="402"/>
      <c r="F1149" s="402"/>
    </row>
    <row r="1150" spans="1:6">
      <c r="A1150"/>
      <c r="B1150"/>
      <c r="C1150"/>
      <c r="D1150"/>
      <c r="E1150" s="402"/>
      <c r="F1150" s="402"/>
    </row>
    <row r="1151" spans="1:6">
      <c r="A1151"/>
      <c r="B1151"/>
      <c r="C1151"/>
      <c r="D1151"/>
      <c r="E1151" s="402"/>
      <c r="F1151" s="402"/>
    </row>
    <row r="1152" spans="1:6">
      <c r="A1152"/>
      <c r="B1152"/>
      <c r="C1152"/>
      <c r="D1152"/>
      <c r="E1152" s="402"/>
      <c r="F1152" s="402"/>
    </row>
    <row r="1153" spans="1:6">
      <c r="A1153"/>
      <c r="B1153"/>
      <c r="C1153"/>
      <c r="D1153"/>
      <c r="E1153" s="402"/>
      <c r="F1153" s="402"/>
    </row>
    <row r="1154" spans="1:6">
      <c r="A1154"/>
      <c r="B1154"/>
      <c r="C1154"/>
      <c r="D1154"/>
      <c r="E1154" s="402"/>
      <c r="F1154" s="402"/>
    </row>
    <row r="1155" spans="1:6">
      <c r="A1155"/>
      <c r="B1155"/>
      <c r="C1155"/>
      <c r="D1155"/>
      <c r="E1155" s="402"/>
      <c r="F1155" s="402"/>
    </row>
    <row r="1156" spans="1:6">
      <c r="A1156"/>
      <c r="B1156"/>
      <c r="C1156"/>
      <c r="D1156"/>
      <c r="E1156" s="402"/>
      <c r="F1156" s="402"/>
    </row>
    <row r="1157" spans="1:6">
      <c r="A1157"/>
      <c r="B1157"/>
      <c r="C1157"/>
      <c r="D1157"/>
      <c r="E1157" s="402"/>
      <c r="F1157" s="402"/>
    </row>
    <row r="1158" spans="1:6">
      <c r="A1158"/>
      <c r="B1158"/>
      <c r="C1158"/>
      <c r="D1158"/>
      <c r="E1158" s="402"/>
      <c r="F1158" s="402"/>
    </row>
    <row r="1159" spans="1:6">
      <c r="A1159"/>
      <c r="B1159"/>
      <c r="C1159"/>
      <c r="D1159"/>
      <c r="E1159" s="402"/>
      <c r="F1159" s="402"/>
    </row>
    <row r="1160" spans="1:6">
      <c r="A1160"/>
      <c r="B1160"/>
      <c r="C1160"/>
      <c r="D1160"/>
      <c r="E1160" s="402"/>
      <c r="F1160" s="402"/>
    </row>
    <row r="1161" spans="1:6">
      <c r="A1161"/>
      <c r="B1161"/>
      <c r="C1161"/>
      <c r="D1161"/>
      <c r="E1161" s="402"/>
      <c r="F1161" s="402"/>
    </row>
    <row r="1162" spans="1:6">
      <c r="A1162"/>
      <c r="B1162"/>
      <c r="C1162"/>
      <c r="D1162"/>
      <c r="E1162" s="402"/>
      <c r="F1162" s="402"/>
    </row>
    <row r="1163" spans="1:6">
      <c r="A1163"/>
      <c r="B1163"/>
      <c r="C1163"/>
      <c r="D1163"/>
      <c r="E1163" s="402"/>
      <c r="F1163" s="402"/>
    </row>
    <row r="1164" spans="1:6">
      <c r="A1164"/>
      <c r="B1164"/>
      <c r="C1164"/>
      <c r="D1164"/>
      <c r="E1164" s="402"/>
      <c r="F1164" s="402"/>
    </row>
    <row r="1165" spans="1:6">
      <c r="A1165"/>
      <c r="B1165"/>
      <c r="C1165"/>
      <c r="D1165"/>
      <c r="E1165" s="402"/>
      <c r="F1165" s="402"/>
    </row>
    <row r="1166" spans="1:6">
      <c r="A1166"/>
      <c r="B1166"/>
      <c r="C1166"/>
      <c r="D1166"/>
      <c r="E1166" s="402"/>
      <c r="F1166" s="402"/>
    </row>
    <row r="1167" spans="1:6">
      <c r="A1167"/>
      <c r="B1167"/>
      <c r="C1167"/>
      <c r="D1167"/>
      <c r="E1167" s="402"/>
      <c r="F1167" s="402"/>
    </row>
    <row r="1168" spans="1:6">
      <c r="A1168"/>
      <c r="B1168"/>
      <c r="C1168"/>
      <c r="D1168"/>
      <c r="E1168" s="402"/>
      <c r="F1168" s="402"/>
    </row>
    <row r="1169" spans="1:6">
      <c r="A1169"/>
      <c r="B1169"/>
      <c r="C1169"/>
      <c r="D1169"/>
      <c r="E1169" s="402"/>
      <c r="F1169" s="402"/>
    </row>
    <row r="1170" spans="1:6">
      <c r="A1170"/>
      <c r="B1170"/>
      <c r="C1170" s="402"/>
      <c r="D1170" s="402"/>
      <c r="E1170" s="402"/>
      <c r="F1170" s="402"/>
    </row>
    <row r="1171" spans="1:6">
      <c r="A1171"/>
      <c r="B1171"/>
      <c r="C1171" s="402"/>
      <c r="D1171" s="402"/>
      <c r="E1171" s="402"/>
      <c r="F1171" s="402"/>
    </row>
    <row r="1172" spans="1:6">
      <c r="A1172"/>
      <c r="B1172"/>
      <c r="C1172"/>
      <c r="D1172" s="402"/>
      <c r="E1172"/>
      <c r="F1172" s="402"/>
    </row>
    <row r="1173" spans="1:6">
      <c r="A1173"/>
      <c r="B1173"/>
      <c r="C1173" s="402"/>
      <c r="D1173" s="402"/>
      <c r="E1173" s="402"/>
      <c r="F1173" s="402"/>
    </row>
    <row r="1174" spans="1:6">
      <c r="A1174"/>
      <c r="B1174"/>
      <c r="C1174"/>
      <c r="D1174" s="402"/>
      <c r="E1174" s="402"/>
      <c r="F1174" s="402"/>
    </row>
    <row r="1175" spans="1:6">
      <c r="A1175"/>
      <c r="B1175"/>
      <c r="C1175" s="402"/>
      <c r="D1175" s="402"/>
      <c r="E1175" s="402"/>
      <c r="F1175" s="402"/>
    </row>
    <row r="1176" spans="1:6">
      <c r="A1176"/>
      <c r="B1176"/>
      <c r="C1176" s="402"/>
      <c r="D1176" s="402"/>
      <c r="E1176" s="402"/>
      <c r="F1176" s="402"/>
    </row>
    <row r="1177" spans="1:6">
      <c r="A1177"/>
      <c r="B1177"/>
      <c r="C1177"/>
      <c r="D1177" s="402"/>
      <c r="E1177" s="402"/>
      <c r="F1177" s="402"/>
    </row>
    <row r="1178" spans="1:6">
      <c r="A1178"/>
      <c r="B1178"/>
      <c r="C1178" s="402"/>
      <c r="D1178" s="402"/>
      <c r="E1178" s="402"/>
      <c r="F1178" s="402"/>
    </row>
    <row r="1179" spans="1:6">
      <c r="A1179"/>
      <c r="B1179"/>
      <c r="C1179" s="402"/>
      <c r="D1179" s="402"/>
      <c r="E1179" s="402"/>
      <c r="F1179" s="402"/>
    </row>
    <row r="1180" spans="1:6">
      <c r="A1180"/>
      <c r="B1180"/>
      <c r="C1180"/>
      <c r="D1180" s="402"/>
      <c r="E1180" s="402"/>
      <c r="F1180" s="402"/>
    </row>
    <row r="1181" spans="1:6">
      <c r="A1181"/>
      <c r="B1181"/>
      <c r="C1181" s="402"/>
      <c r="D1181" s="402"/>
      <c r="E1181" s="402"/>
      <c r="F1181" s="402"/>
    </row>
    <row r="1182" spans="1:6">
      <c r="A1182"/>
      <c r="B1182"/>
      <c r="C1182" s="402"/>
      <c r="D1182" s="402"/>
      <c r="E1182" s="402"/>
      <c r="F1182" s="402"/>
    </row>
    <row r="1183" spans="1:6">
      <c r="A1183"/>
      <c r="B1183"/>
      <c r="C1183"/>
      <c r="D1183" s="402"/>
      <c r="E1183" s="402"/>
      <c r="F1183" s="402"/>
    </row>
    <row r="1184" spans="1:6">
      <c r="A1184"/>
      <c r="B1184"/>
      <c r="C1184" s="402"/>
      <c r="D1184" s="402"/>
      <c r="E1184" s="402"/>
      <c r="F1184" s="402"/>
    </row>
    <row r="1185" spans="1:6">
      <c r="A1185"/>
      <c r="B1185"/>
      <c r="C1185"/>
      <c r="D1185" s="402"/>
      <c r="E1185" s="402"/>
      <c r="F1185"/>
    </row>
    <row r="1186" spans="1:6">
      <c r="A1186"/>
      <c r="B1186"/>
      <c r="C1186"/>
      <c r="D1186" s="402"/>
      <c r="E1186" s="402"/>
      <c r="F1186"/>
    </row>
    <row r="1187" spans="1:6">
      <c r="A1187"/>
      <c r="B1187"/>
      <c r="C1187"/>
      <c r="D1187"/>
      <c r="E1187" s="402"/>
      <c r="F1187" s="402"/>
    </row>
    <row r="1188" spans="1:6">
      <c r="A1188"/>
      <c r="B1188"/>
      <c r="C1188"/>
      <c r="D1188"/>
      <c r="E1188" s="402"/>
      <c r="F1188" s="402"/>
    </row>
    <row r="1189" spans="1:6">
      <c r="A1189"/>
      <c r="B1189"/>
      <c r="C1189"/>
      <c r="D1189"/>
      <c r="E1189" s="402"/>
      <c r="F1189" s="402"/>
    </row>
    <row r="1190" spans="1:6">
      <c r="A1190"/>
      <c r="B1190"/>
      <c r="C1190"/>
      <c r="D1190"/>
      <c r="E1190" s="402"/>
      <c r="F1190" s="402"/>
    </row>
    <row r="1191" spans="1:6">
      <c r="A1191"/>
      <c r="B1191"/>
      <c r="C1191" s="402"/>
      <c r="D1191" s="402"/>
      <c r="E1191" s="402"/>
      <c r="F1191" s="402"/>
    </row>
    <row r="1192" spans="1:6">
      <c r="A1192"/>
      <c r="B1192"/>
      <c r="C1192"/>
      <c r="D1192" s="402"/>
      <c r="E1192" s="402"/>
      <c r="F1192" s="402"/>
    </row>
    <row r="1193" spans="1:6">
      <c r="A1193"/>
      <c r="B1193"/>
      <c r="C1193" s="402"/>
      <c r="D1193" s="402"/>
      <c r="E1193" s="402"/>
      <c r="F1193" s="402"/>
    </row>
    <row r="1194" spans="1:6">
      <c r="A1194"/>
      <c r="B1194"/>
      <c r="C1194" s="402"/>
      <c r="D1194" s="402"/>
      <c r="E1194" s="402"/>
      <c r="F1194" s="402"/>
    </row>
    <row r="1195" spans="1:6">
      <c r="A1195"/>
      <c r="B1195"/>
      <c r="C1195"/>
      <c r="D1195" s="402"/>
      <c r="E1195"/>
      <c r="F1195" s="402"/>
    </row>
    <row r="1196" spans="1:6">
      <c r="A1196"/>
      <c r="B1196"/>
      <c r="C1196" s="402"/>
      <c r="D1196" s="402"/>
      <c r="E1196" s="402"/>
      <c r="F1196" s="402"/>
    </row>
    <row r="1197" spans="1:6">
      <c r="A1197"/>
      <c r="B1197"/>
      <c r="C1197" s="402"/>
      <c r="D1197" s="402"/>
      <c r="E1197" s="402"/>
      <c r="F1197" s="402"/>
    </row>
    <row r="1198" spans="1:6">
      <c r="A1198"/>
      <c r="B1198"/>
      <c r="C1198" s="402"/>
      <c r="D1198" s="402"/>
      <c r="E1198" s="402"/>
      <c r="F1198" s="402"/>
    </row>
    <row r="1199" spans="1:6">
      <c r="A1199"/>
      <c r="B1199"/>
      <c r="C1199" s="402"/>
      <c r="D1199" s="402"/>
      <c r="E1199" s="402"/>
      <c r="F1199" s="402"/>
    </row>
    <row r="1200" spans="1:6">
      <c r="A1200"/>
      <c r="B1200"/>
      <c r="C1200" s="402"/>
      <c r="D1200" s="402"/>
      <c r="E1200" s="402"/>
      <c r="F1200" s="402"/>
    </row>
    <row r="1201" spans="1:6">
      <c r="A1201"/>
      <c r="B1201"/>
      <c r="C1201" s="402"/>
      <c r="D1201" s="402"/>
      <c r="E1201" s="402"/>
      <c r="F1201" s="402"/>
    </row>
    <row r="1202" spans="1:6">
      <c r="A1202"/>
      <c r="B1202"/>
      <c r="C1202"/>
      <c r="D1202" s="402"/>
      <c r="E1202" s="402"/>
      <c r="F1202" s="402"/>
    </row>
    <row r="1203" spans="1:6">
      <c r="A1203"/>
      <c r="B1203"/>
      <c r="C1203"/>
      <c r="D1203" s="402"/>
      <c r="E1203" s="402"/>
      <c r="F1203" s="402"/>
    </row>
    <row r="1204" spans="1:6">
      <c r="A1204"/>
      <c r="B1204"/>
      <c r="C1204" s="402"/>
      <c r="D1204" s="402"/>
      <c r="E1204"/>
      <c r="F1204"/>
    </row>
    <row r="1205" spans="1:6">
      <c r="A1205"/>
      <c r="B1205"/>
      <c r="C1205" s="402"/>
      <c r="D1205" s="402"/>
      <c r="E1205"/>
      <c r="F1205"/>
    </row>
    <row r="1206" spans="1:6">
      <c r="A1206"/>
      <c r="B1206"/>
      <c r="C1206" s="402"/>
      <c r="D1206" s="402"/>
      <c r="E1206"/>
      <c r="F1206"/>
    </row>
    <row r="1207" spans="1:6">
      <c r="A1207"/>
      <c r="B1207"/>
      <c r="C1207" s="402"/>
      <c r="D1207" s="402"/>
      <c r="E1207"/>
      <c r="F1207"/>
    </row>
    <row r="1208" spans="1:6">
      <c r="A1208"/>
      <c r="B1208"/>
      <c r="C1208" s="402"/>
      <c r="D1208" s="402"/>
      <c r="E1208"/>
      <c r="F1208"/>
    </row>
    <row r="1209" spans="1:6">
      <c r="A1209"/>
      <c r="B1209"/>
      <c r="C1209" s="402"/>
      <c r="D1209" s="402"/>
      <c r="E1209"/>
      <c r="F1209"/>
    </row>
    <row r="1210" spans="1:6">
      <c r="A1210"/>
      <c r="B1210"/>
      <c r="C1210" s="402"/>
      <c r="D1210" s="402"/>
      <c r="E1210"/>
      <c r="F1210"/>
    </row>
    <row r="1211" spans="1:6">
      <c r="A1211"/>
      <c r="B1211"/>
      <c r="C1211" s="402"/>
      <c r="D1211" s="402"/>
      <c r="E1211"/>
      <c r="F1211"/>
    </row>
    <row r="1212" spans="1:6">
      <c r="A1212"/>
      <c r="B1212"/>
      <c r="C1212" s="402"/>
      <c r="D1212"/>
      <c r="E1212"/>
      <c r="F1212" s="402"/>
    </row>
    <row r="1213" spans="1:6">
      <c r="A1213"/>
      <c r="B1213"/>
      <c r="C1213" s="402"/>
      <c r="D1213"/>
      <c r="E1213"/>
      <c r="F1213" s="402"/>
    </row>
    <row r="1214" spans="1:6">
      <c r="A1214"/>
      <c r="B1214"/>
      <c r="C1214"/>
      <c r="D1214" s="402"/>
      <c r="E1214" s="402"/>
      <c r="F1214"/>
    </row>
    <row r="1215" spans="1:6">
      <c r="A1215"/>
      <c r="B1215"/>
      <c r="C1215"/>
      <c r="D1215" s="402"/>
      <c r="E1215" s="402"/>
      <c r="F1215"/>
    </row>
    <row r="1216" spans="1:6">
      <c r="A1216"/>
      <c r="B1216"/>
      <c r="C1216"/>
      <c r="D1216" s="402"/>
      <c r="E1216" s="402"/>
      <c r="F1216"/>
    </row>
    <row r="1217" spans="1:6">
      <c r="A1217"/>
      <c r="B1217"/>
      <c r="C1217"/>
      <c r="D1217" s="402"/>
      <c r="E1217" s="402"/>
      <c r="F1217"/>
    </row>
    <row r="1218" spans="1:6">
      <c r="A1218"/>
      <c r="B1218"/>
      <c r="C1218"/>
      <c r="D1218" s="402"/>
      <c r="E1218" s="402"/>
      <c r="F1218"/>
    </row>
    <row r="1219" spans="1:6">
      <c r="A1219"/>
      <c r="B1219"/>
      <c r="C1219"/>
      <c r="D1219" s="402"/>
      <c r="E1219" s="402"/>
      <c r="F1219"/>
    </row>
    <row r="1220" spans="1:6">
      <c r="A1220"/>
      <c r="B1220"/>
      <c r="C1220" s="402"/>
      <c r="D1220" s="402"/>
      <c r="E1220"/>
      <c r="F1220"/>
    </row>
    <row r="1221" spans="1:6">
      <c r="A1221"/>
      <c r="B1221"/>
      <c r="C1221" s="402"/>
      <c r="D1221" s="402"/>
      <c r="E1221"/>
      <c r="F1221"/>
    </row>
    <row r="1222" spans="1:6">
      <c r="A1222"/>
      <c r="B1222"/>
      <c r="C1222" s="402"/>
      <c r="D1222" s="402"/>
      <c r="E1222"/>
      <c r="F1222"/>
    </row>
    <row r="1223" spans="1:6">
      <c r="A1223"/>
      <c r="B1223"/>
      <c r="C1223" s="402"/>
      <c r="D1223" s="402"/>
      <c r="E1223"/>
      <c r="F1223"/>
    </row>
    <row r="1224" spans="1:6">
      <c r="A1224"/>
      <c r="B1224"/>
      <c r="C1224" s="402"/>
      <c r="D1224"/>
      <c r="E1224"/>
      <c r="F1224" s="402"/>
    </row>
    <row r="1225" spans="1:6">
      <c r="A1225"/>
      <c r="B1225"/>
      <c r="C1225"/>
      <c r="D1225"/>
      <c r="E1225"/>
      <c r="F1225"/>
    </row>
    <row r="1226" spans="1:6">
      <c r="A1226"/>
      <c r="B1226"/>
      <c r="C1226" s="402"/>
      <c r="D1226" s="402"/>
      <c r="E1226"/>
      <c r="F1226" s="402"/>
    </row>
    <row r="1227" spans="1:6">
      <c r="A1227"/>
      <c r="B1227"/>
      <c r="C1227" s="402"/>
      <c r="D1227"/>
      <c r="E1227"/>
      <c r="F1227" s="402"/>
    </row>
    <row r="1228" spans="1:6">
      <c r="A1228"/>
      <c r="B1228"/>
      <c r="C1228" s="402"/>
      <c r="D1228"/>
      <c r="E1228"/>
      <c r="F1228" s="402"/>
    </row>
    <row r="1229" spans="1:6">
      <c r="A1229"/>
      <c r="B1229"/>
      <c r="C1229" s="402"/>
      <c r="D1229"/>
      <c r="E1229"/>
      <c r="F1229" s="402"/>
    </row>
    <row r="1230" spans="1:6">
      <c r="A1230"/>
      <c r="B1230"/>
      <c r="C1230" s="402"/>
      <c r="D1230"/>
      <c r="E1230"/>
      <c r="F1230" s="402"/>
    </row>
    <row r="1231" spans="1:6">
      <c r="A1231"/>
      <c r="B1231"/>
      <c r="C1231" s="402"/>
      <c r="D1231"/>
      <c r="E1231" s="402"/>
      <c r="F1231" s="402"/>
    </row>
    <row r="1232" spans="1:6">
      <c r="A1232"/>
      <c r="B1232"/>
      <c r="C1232" s="402"/>
      <c r="D1232"/>
      <c r="E1232" s="402"/>
      <c r="F1232" s="402"/>
    </row>
    <row r="1233" spans="1:6">
      <c r="A1233"/>
      <c r="B1233"/>
      <c r="C1233" s="402"/>
      <c r="D1233"/>
      <c r="E1233" s="402"/>
      <c r="F1233" s="402"/>
    </row>
    <row r="1234" spans="1:6">
      <c r="A1234"/>
      <c r="B1234"/>
      <c r="C1234"/>
      <c r="D1234" s="402"/>
      <c r="E1234" s="402"/>
      <c r="F1234" s="402"/>
    </row>
    <row r="1235" spans="1:6">
      <c r="A1235"/>
      <c r="B1235"/>
      <c r="C1235"/>
      <c r="D1235" s="402"/>
      <c r="E1235" s="402"/>
      <c r="F1235" s="402"/>
    </row>
    <row r="1236" spans="1:6">
      <c r="A1236"/>
      <c r="B1236"/>
      <c r="C1236"/>
      <c r="D1236" s="402"/>
      <c r="E1236" s="402"/>
      <c r="F1236" s="402"/>
    </row>
    <row r="1237" spans="1:6">
      <c r="A1237"/>
      <c r="B1237"/>
      <c r="C1237"/>
      <c r="D1237" s="402"/>
      <c r="E1237" s="402"/>
      <c r="F1237" s="402"/>
    </row>
    <row r="1238" spans="1:6">
      <c r="A1238"/>
      <c r="B1238"/>
      <c r="C1238"/>
      <c r="D1238" s="402"/>
      <c r="E1238" s="402"/>
      <c r="F1238" s="402"/>
    </row>
    <row r="1239" spans="1:6">
      <c r="A1239"/>
      <c r="B1239"/>
      <c r="C1239"/>
      <c r="D1239" s="402"/>
      <c r="E1239" s="402"/>
      <c r="F1239" s="402"/>
    </row>
    <row r="1240" spans="1:6">
      <c r="A1240"/>
      <c r="B1240"/>
      <c r="C1240"/>
      <c r="D1240" s="402"/>
      <c r="E1240" s="402"/>
      <c r="F1240" s="402"/>
    </row>
    <row r="1241" spans="1:6">
      <c r="A1241"/>
      <c r="B1241"/>
      <c r="C1241"/>
      <c r="D1241" s="402"/>
      <c r="E1241" s="402"/>
      <c r="F1241" s="402"/>
    </row>
    <row r="1242" spans="1:6">
      <c r="A1242"/>
      <c r="B1242"/>
      <c r="C1242"/>
      <c r="D1242" s="402"/>
      <c r="E1242" s="402"/>
      <c r="F1242" s="402"/>
    </row>
    <row r="1243" spans="1:6">
      <c r="A1243"/>
      <c r="B1243"/>
      <c r="C1243"/>
      <c r="D1243" s="402"/>
      <c r="E1243" s="402"/>
      <c r="F1243" s="402"/>
    </row>
    <row r="1244" spans="1:6">
      <c r="A1244"/>
      <c r="B1244"/>
      <c r="C1244" s="402"/>
      <c r="D1244" s="402"/>
      <c r="E1244" s="402"/>
      <c r="F1244" s="402"/>
    </row>
    <row r="1245" spans="1:6">
      <c r="A1245"/>
      <c r="B1245"/>
      <c r="C1245" s="402"/>
      <c r="D1245" s="402"/>
      <c r="E1245" s="402"/>
      <c r="F1245" s="402"/>
    </row>
    <row r="1246" spans="1:6">
      <c r="A1246"/>
      <c r="B1246"/>
      <c r="C1246"/>
      <c r="D1246" s="402"/>
      <c r="E1246" s="402"/>
      <c r="F1246"/>
    </row>
    <row r="1247" spans="1:6">
      <c r="A1247"/>
      <c r="B1247"/>
      <c r="C1247"/>
      <c r="D1247" s="402"/>
      <c r="E1247" s="402"/>
      <c r="F1247"/>
    </row>
    <row r="1248" spans="1:6">
      <c r="A1248"/>
      <c r="B1248"/>
      <c r="C1248"/>
      <c r="D1248" s="402"/>
      <c r="E1248" s="402"/>
      <c r="F1248"/>
    </row>
    <row r="1249" spans="1:6">
      <c r="A1249"/>
      <c r="B1249"/>
      <c r="C1249"/>
      <c r="D1249" s="402"/>
      <c r="E1249" s="402"/>
      <c r="F1249"/>
    </row>
    <row r="1250" spans="1:6">
      <c r="A1250"/>
      <c r="B1250"/>
      <c r="C1250"/>
      <c r="D1250" s="402"/>
      <c r="E1250" s="402"/>
      <c r="F1250"/>
    </row>
    <row r="1251" spans="1:6">
      <c r="A1251"/>
      <c r="B1251"/>
      <c r="C1251"/>
      <c r="D1251" s="402"/>
      <c r="E1251" s="402"/>
      <c r="F1251"/>
    </row>
    <row r="1252" spans="1:6">
      <c r="A1252"/>
      <c r="B1252"/>
      <c r="C1252"/>
      <c r="D1252" s="402"/>
      <c r="E1252" s="402"/>
      <c r="F1252"/>
    </row>
    <row r="1253" spans="1:6">
      <c r="A1253"/>
      <c r="B1253"/>
      <c r="C1253"/>
      <c r="D1253" s="402"/>
      <c r="E1253" s="402"/>
      <c r="F1253"/>
    </row>
    <row r="1254" spans="1:6">
      <c r="A1254"/>
      <c r="B1254"/>
      <c r="C1254"/>
      <c r="D1254" s="402"/>
      <c r="E1254" s="402"/>
      <c r="F1254"/>
    </row>
    <row r="1255" spans="1:6">
      <c r="A1255"/>
      <c r="B1255"/>
      <c r="C1255"/>
      <c r="D1255" s="402"/>
      <c r="E1255" s="402"/>
      <c r="F1255"/>
    </row>
    <row r="1256" spans="1:6">
      <c r="A1256"/>
      <c r="B1256"/>
      <c r="C1256"/>
      <c r="D1256" s="402"/>
      <c r="E1256" s="402"/>
      <c r="F1256"/>
    </row>
    <row r="1257" spans="1:6">
      <c r="A1257"/>
      <c r="B1257"/>
      <c r="C1257"/>
      <c r="D1257" s="402"/>
      <c r="E1257" s="402"/>
      <c r="F1257"/>
    </row>
    <row r="1258" spans="1:6">
      <c r="A1258"/>
      <c r="B1258"/>
      <c r="C1258"/>
      <c r="D1258" s="402"/>
      <c r="E1258" s="402"/>
      <c r="F1258" s="402"/>
    </row>
    <row r="1259" spans="1:6">
      <c r="A1259"/>
      <c r="B1259"/>
      <c r="C1259"/>
      <c r="D1259" s="402"/>
      <c r="E1259" s="402"/>
      <c r="F1259" s="402"/>
    </row>
    <row r="1260" spans="1:6">
      <c r="A1260"/>
      <c r="B1260"/>
      <c r="C1260"/>
      <c r="D1260" s="402"/>
      <c r="E1260" s="402"/>
      <c r="F1260" s="402"/>
    </row>
    <row r="1261" spans="1:6">
      <c r="A1261"/>
      <c r="B1261"/>
      <c r="C1261"/>
      <c r="D1261" s="402"/>
      <c r="E1261" s="402"/>
      <c r="F1261" s="402"/>
    </row>
    <row r="1262" spans="1:6">
      <c r="A1262"/>
      <c r="B1262"/>
      <c r="C1262"/>
      <c r="D1262" s="402"/>
      <c r="E1262" s="402"/>
      <c r="F1262" s="402"/>
    </row>
    <row r="1263" spans="1:6">
      <c r="A1263"/>
      <c r="B1263"/>
      <c r="C1263"/>
      <c r="D1263" s="402"/>
      <c r="E1263" s="402"/>
      <c r="F1263" s="402"/>
    </row>
    <row r="1264" spans="1:6">
      <c r="A1264"/>
      <c r="B1264"/>
      <c r="C1264"/>
      <c r="D1264" s="402"/>
      <c r="E1264" s="402"/>
      <c r="F1264" s="402"/>
    </row>
    <row r="1265" spans="1:6">
      <c r="A1265"/>
      <c r="B1265"/>
      <c r="C1265"/>
      <c r="D1265" s="402"/>
      <c r="E1265" s="402"/>
      <c r="F1265" s="402"/>
    </row>
    <row r="1266" spans="1:6">
      <c r="A1266"/>
      <c r="B1266"/>
      <c r="C1266"/>
      <c r="D1266" s="402"/>
      <c r="E1266" s="402"/>
      <c r="F1266" s="402"/>
    </row>
    <row r="1267" spans="1:6">
      <c r="A1267"/>
      <c r="B1267"/>
      <c r="C1267"/>
      <c r="D1267" s="402"/>
      <c r="E1267" s="402"/>
      <c r="F1267" s="402"/>
    </row>
    <row r="1268" spans="1:6">
      <c r="A1268"/>
      <c r="B1268"/>
      <c r="C1268"/>
      <c r="D1268" s="402"/>
      <c r="E1268" s="402"/>
      <c r="F1268" s="402"/>
    </row>
    <row r="1269" spans="1:6">
      <c r="A1269"/>
      <c r="B1269"/>
      <c r="C1269"/>
      <c r="D1269" s="402"/>
      <c r="E1269" s="402"/>
      <c r="F1269" s="402"/>
    </row>
    <row r="1270" spans="1:6">
      <c r="A1270"/>
      <c r="B1270"/>
      <c r="C1270" s="402"/>
      <c r="D1270"/>
      <c r="E1270" s="402"/>
      <c r="F1270" s="402"/>
    </row>
    <row r="1271" spans="1:6">
      <c r="A1271"/>
      <c r="B1271"/>
      <c r="C1271" s="402"/>
      <c r="D1271" s="402"/>
      <c r="E1271"/>
      <c r="F1271"/>
    </row>
    <row r="1272" spans="1:6">
      <c r="A1272"/>
      <c r="B1272"/>
      <c r="C1272" s="402"/>
      <c r="D1272" s="402"/>
      <c r="E1272" s="402"/>
      <c r="F1272" s="402"/>
    </row>
    <row r="1273" spans="1:6">
      <c r="A1273"/>
      <c r="B1273"/>
      <c r="C1273"/>
      <c r="D1273" s="402"/>
      <c r="E1273" s="402"/>
      <c r="F1273"/>
    </row>
    <row r="1274" spans="1:6">
      <c r="A1274"/>
      <c r="B1274"/>
      <c r="C1274"/>
      <c r="D1274" s="402"/>
      <c r="E1274" s="402"/>
      <c r="F1274"/>
    </row>
    <row r="1275" spans="1:6">
      <c r="A1275"/>
      <c r="B1275"/>
      <c r="C1275"/>
      <c r="D1275" s="402"/>
      <c r="E1275" s="402"/>
      <c r="F1275"/>
    </row>
    <row r="1276" spans="1:6">
      <c r="A1276"/>
      <c r="B1276"/>
      <c r="C1276"/>
      <c r="D1276" s="402"/>
      <c r="E1276" s="402"/>
      <c r="F1276"/>
    </row>
    <row r="1277" spans="1:6">
      <c r="A1277"/>
      <c r="B1277"/>
      <c r="C1277"/>
      <c r="D1277" s="402"/>
      <c r="E1277" s="402"/>
      <c r="F1277"/>
    </row>
    <row r="1278" spans="1:6">
      <c r="A1278"/>
      <c r="B1278"/>
      <c r="C1278"/>
      <c r="D1278" s="402"/>
      <c r="E1278" s="402"/>
      <c r="F1278"/>
    </row>
    <row r="1279" spans="1:6">
      <c r="A1279"/>
      <c r="B1279"/>
      <c r="C1279"/>
      <c r="D1279" s="402"/>
      <c r="E1279" s="402"/>
      <c r="F1279"/>
    </row>
    <row r="1280" spans="1:6">
      <c r="A1280"/>
      <c r="B1280"/>
      <c r="C1280"/>
      <c r="D1280" s="402"/>
      <c r="E1280" s="402"/>
      <c r="F1280"/>
    </row>
    <row r="1281" spans="1:6">
      <c r="A1281"/>
      <c r="B1281"/>
      <c r="C1281"/>
      <c r="D1281" s="402"/>
      <c r="E1281" s="402"/>
      <c r="F1281"/>
    </row>
    <row r="1282" spans="1:6">
      <c r="A1282"/>
      <c r="B1282"/>
      <c r="C1282"/>
      <c r="D1282" s="402"/>
      <c r="E1282" s="402"/>
      <c r="F1282"/>
    </row>
    <row r="1283" spans="1:6">
      <c r="A1283"/>
      <c r="B1283"/>
      <c r="C1283"/>
      <c r="D1283" s="402"/>
      <c r="E1283" s="402"/>
      <c r="F1283"/>
    </row>
    <row r="1284" spans="1:6">
      <c r="A1284"/>
      <c r="B1284"/>
      <c r="C1284"/>
      <c r="D1284" s="402"/>
      <c r="E1284" s="402"/>
      <c r="F1284"/>
    </row>
    <row r="1285" spans="1:6">
      <c r="A1285"/>
      <c r="B1285"/>
      <c r="C1285"/>
      <c r="D1285" s="402"/>
      <c r="E1285" s="402"/>
      <c r="F1285" s="402"/>
    </row>
    <row r="1286" spans="1:6">
      <c r="A1286"/>
      <c r="B1286"/>
      <c r="C1286"/>
      <c r="D1286" s="402"/>
      <c r="E1286" s="402"/>
      <c r="F1286" s="402"/>
    </row>
    <row r="1287" spans="1:6">
      <c r="A1287"/>
      <c r="B1287"/>
      <c r="C1287"/>
      <c r="D1287" s="402"/>
      <c r="E1287" s="402"/>
      <c r="F1287" s="402"/>
    </row>
    <row r="1288" spans="1:6">
      <c r="A1288"/>
      <c r="B1288"/>
      <c r="C1288" s="402"/>
      <c r="D1288" s="402"/>
      <c r="E1288" s="402"/>
      <c r="F1288" s="402"/>
    </row>
    <row r="1289" spans="1:6">
      <c r="A1289"/>
      <c r="B1289"/>
      <c r="C1289" s="402"/>
      <c r="D1289" s="402"/>
      <c r="E1289" s="402"/>
      <c r="F1289" s="402"/>
    </row>
    <row r="1290" spans="1:6">
      <c r="A1290"/>
      <c r="B1290"/>
      <c r="C1290" s="402"/>
      <c r="D1290" s="402"/>
      <c r="E1290" s="402"/>
      <c r="F1290" s="402"/>
    </row>
    <row r="1291" spans="1:6">
      <c r="A1291"/>
      <c r="B1291"/>
      <c r="C1291"/>
      <c r="D1291" s="402"/>
      <c r="E1291" s="402"/>
      <c r="F1291" s="402"/>
    </row>
    <row r="1292" spans="1:6">
      <c r="A1292"/>
      <c r="B1292"/>
      <c r="C1292"/>
      <c r="D1292" s="402"/>
      <c r="E1292" s="402"/>
      <c r="F1292" s="402"/>
    </row>
    <row r="1293" spans="1:6">
      <c r="A1293"/>
      <c r="B1293"/>
      <c r="C1293"/>
      <c r="D1293" s="402"/>
      <c r="E1293" s="402"/>
      <c r="F1293" s="402"/>
    </row>
    <row r="1294" spans="1:6">
      <c r="A1294"/>
      <c r="B1294"/>
      <c r="C1294"/>
      <c r="D1294" s="402"/>
      <c r="E1294" s="402"/>
      <c r="F1294" s="402"/>
    </row>
    <row r="1295" spans="1:6">
      <c r="A1295"/>
      <c r="B1295"/>
      <c r="C1295"/>
      <c r="D1295" s="402"/>
      <c r="E1295" s="402"/>
      <c r="F1295"/>
    </row>
    <row r="1296" spans="1:6">
      <c r="A1296"/>
      <c r="B1296"/>
      <c r="C1296"/>
      <c r="D1296" s="402"/>
      <c r="E1296" s="402"/>
      <c r="F1296" s="402"/>
    </row>
    <row r="1297" spans="1:6">
      <c r="A1297"/>
      <c r="B1297"/>
      <c r="C1297" s="402"/>
      <c r="D1297" s="402"/>
      <c r="E1297" s="402"/>
      <c r="F1297" s="402"/>
    </row>
    <row r="1298" spans="1:6">
      <c r="A1298"/>
      <c r="B1298"/>
      <c r="C1298" s="402"/>
      <c r="D1298" s="402"/>
      <c r="E1298" s="402"/>
      <c r="F1298" s="402"/>
    </row>
    <row r="1299" spans="1:6">
      <c r="A1299"/>
      <c r="B1299"/>
      <c r="C1299" s="402"/>
      <c r="D1299"/>
      <c r="E1299"/>
      <c r="F1299" s="402"/>
    </row>
    <row r="1300" spans="1:6">
      <c r="A1300"/>
      <c r="B1300"/>
      <c r="C1300"/>
      <c r="D1300" s="402"/>
      <c r="E1300" s="402"/>
      <c r="F1300" s="402"/>
    </row>
    <row r="1301" spans="1:6">
      <c r="A1301"/>
      <c r="B1301"/>
      <c r="C1301" s="402"/>
      <c r="D1301" s="402"/>
      <c r="E1301" s="402"/>
      <c r="F1301" s="402"/>
    </row>
    <row r="1302" spans="1:6">
      <c r="A1302"/>
      <c r="B1302"/>
      <c r="C1302" s="402"/>
      <c r="D1302" s="402"/>
      <c r="E1302" s="402"/>
      <c r="F1302" s="402"/>
    </row>
    <row r="1303" spans="1:6">
      <c r="A1303"/>
      <c r="B1303"/>
      <c r="C1303" s="402"/>
      <c r="D1303" s="402"/>
      <c r="E1303" s="402"/>
      <c r="F1303" s="402"/>
    </row>
    <row r="1304" spans="1:6">
      <c r="A1304"/>
      <c r="B1304"/>
      <c r="C1304" s="402"/>
      <c r="D1304" s="402"/>
      <c r="E1304" s="402"/>
      <c r="F1304" s="402"/>
    </row>
    <row r="1305" spans="1:6">
      <c r="A1305"/>
      <c r="B1305"/>
      <c r="C1305"/>
      <c r="D1305" s="402"/>
      <c r="E1305" s="402"/>
      <c r="F1305" s="402"/>
    </row>
    <row r="1306" spans="1:6">
      <c r="A1306"/>
      <c r="B1306"/>
      <c r="C1306"/>
      <c r="D1306" s="402"/>
      <c r="E1306" s="402"/>
      <c r="F1306" s="402"/>
    </row>
    <row r="1307" spans="1:6">
      <c r="A1307"/>
      <c r="B1307"/>
      <c r="C1307" s="402"/>
      <c r="D1307" s="402"/>
      <c r="E1307" s="402"/>
      <c r="F1307" s="402"/>
    </row>
    <row r="1308" spans="1:6">
      <c r="A1308"/>
      <c r="B1308"/>
      <c r="C1308" s="402"/>
      <c r="D1308" s="402"/>
      <c r="E1308" s="402"/>
      <c r="F1308" s="402"/>
    </row>
    <row r="1309" spans="1:6">
      <c r="A1309"/>
      <c r="B1309"/>
      <c r="C1309"/>
      <c r="D1309" s="402"/>
      <c r="E1309" s="402"/>
      <c r="F1309" s="402"/>
    </row>
    <row r="1310" spans="1:6">
      <c r="A1310"/>
      <c r="B1310"/>
      <c r="C1310"/>
      <c r="D1310" s="402"/>
      <c r="E1310" s="402"/>
      <c r="F1310" s="402"/>
    </row>
    <row r="1311" spans="1:6">
      <c r="A1311"/>
      <c r="B1311"/>
      <c r="C1311" s="402"/>
      <c r="D1311" s="402"/>
      <c r="E1311" s="402"/>
      <c r="F1311" s="402"/>
    </row>
    <row r="1312" spans="1:6">
      <c r="A1312"/>
      <c r="B1312"/>
      <c r="C1312"/>
      <c r="D1312"/>
      <c r="E1312"/>
      <c r="F1312"/>
    </row>
    <row r="1313" spans="1:6">
      <c r="A1313"/>
      <c r="B1313"/>
      <c r="C1313" s="402"/>
      <c r="D1313" s="402"/>
      <c r="E1313"/>
      <c r="F1313"/>
    </row>
    <row r="1314" spans="1:6">
      <c r="A1314"/>
      <c r="B1314"/>
      <c r="C1314" s="402"/>
      <c r="D1314"/>
      <c r="E1314"/>
      <c r="F1314" s="402"/>
    </row>
    <row r="1315" spans="1:6">
      <c r="A1315"/>
      <c r="B1315"/>
      <c r="C1315" s="402"/>
      <c r="D1315" s="402"/>
      <c r="E1315"/>
      <c r="F1315" s="402"/>
    </row>
    <row r="1316" spans="1:6">
      <c r="A1316"/>
      <c r="B1316"/>
      <c r="C1316" s="402"/>
      <c r="D1316" s="402"/>
      <c r="E1316"/>
      <c r="F1316"/>
    </row>
    <row r="1317" spans="1:6">
      <c r="A1317"/>
      <c r="B1317"/>
      <c r="C1317" s="402"/>
      <c r="D1317" s="402"/>
      <c r="E1317"/>
      <c r="F1317"/>
    </row>
    <row r="1318" spans="1:6">
      <c r="A1318"/>
      <c r="B1318"/>
      <c r="C1318" s="402"/>
      <c r="D1318" s="402"/>
      <c r="E1318"/>
      <c r="F1318"/>
    </row>
    <row r="1319" spans="1:6">
      <c r="A1319"/>
      <c r="B1319"/>
      <c r="C1319" s="402"/>
      <c r="D1319" s="402"/>
      <c r="E1319"/>
      <c r="F1319"/>
    </row>
    <row r="1320" spans="1:6">
      <c r="A1320"/>
      <c r="B1320"/>
      <c r="C1320" s="402"/>
      <c r="D1320" s="402"/>
      <c r="E1320"/>
      <c r="F1320"/>
    </row>
    <row r="1321" spans="1:6">
      <c r="A1321"/>
      <c r="B1321"/>
      <c r="C1321" s="402"/>
      <c r="D1321" s="402"/>
      <c r="E1321"/>
      <c r="F1321"/>
    </row>
    <row r="1322" spans="1:6">
      <c r="A1322"/>
      <c r="B1322"/>
      <c r="C1322" s="402"/>
      <c r="D1322" s="402"/>
      <c r="E1322"/>
      <c r="F1322"/>
    </row>
    <row r="1323" spans="1:6">
      <c r="A1323"/>
      <c r="B1323"/>
      <c r="C1323" s="402"/>
      <c r="D1323" s="402"/>
      <c r="E1323"/>
      <c r="F1323"/>
    </row>
    <row r="1324" spans="1:6">
      <c r="A1324"/>
      <c r="B1324"/>
      <c r="C1324" s="402"/>
      <c r="D1324" s="402"/>
      <c r="E1324"/>
      <c r="F1324"/>
    </row>
    <row r="1325" spans="1:6">
      <c r="A1325"/>
      <c r="B1325"/>
      <c r="C1325"/>
      <c r="D1325"/>
      <c r="E1325"/>
      <c r="F1325"/>
    </row>
    <row r="1326" spans="1:6">
      <c r="A1326"/>
      <c r="B1326"/>
      <c r="C1326"/>
      <c r="D1326" s="402"/>
      <c r="E1326" s="402"/>
      <c r="F1326"/>
    </row>
    <row r="1327" spans="1:6">
      <c r="A1327"/>
      <c r="B1327"/>
      <c r="C1327"/>
      <c r="D1327"/>
      <c r="E1327"/>
      <c r="F1327"/>
    </row>
    <row r="1328" spans="1:6">
      <c r="A1328"/>
      <c r="B1328"/>
      <c r="C1328"/>
      <c r="D1328"/>
      <c r="E1328"/>
      <c r="F1328"/>
    </row>
    <row r="1329" spans="1:6">
      <c r="A1329"/>
      <c r="B1329"/>
      <c r="C1329"/>
      <c r="D1329"/>
      <c r="E1329"/>
      <c r="F1329"/>
    </row>
    <row r="1330" spans="1:6">
      <c r="A1330"/>
      <c r="B1330"/>
      <c r="C1330"/>
      <c r="D1330" s="402"/>
      <c r="E1330" s="402"/>
      <c r="F1330" s="402"/>
    </row>
    <row r="1331" spans="1:6">
      <c r="A1331"/>
      <c r="B1331"/>
      <c r="C1331" s="402"/>
      <c r="D1331"/>
      <c r="E1331"/>
      <c r="F1331" s="402"/>
    </row>
    <row r="1332" spans="1:6">
      <c r="A1332"/>
      <c r="B1332"/>
      <c r="C1332" s="402"/>
      <c r="D1332"/>
      <c r="E1332"/>
      <c r="F1332" s="402"/>
    </row>
    <row r="1333" spans="1:6">
      <c r="A1333"/>
      <c r="B1333"/>
      <c r="C1333" s="402"/>
      <c r="D1333"/>
      <c r="E1333"/>
      <c r="F1333" s="402"/>
    </row>
    <row r="1334" spans="1:6">
      <c r="A1334"/>
      <c r="B1334"/>
      <c r="C1334" s="402"/>
      <c r="D1334"/>
      <c r="E1334"/>
      <c r="F1334" s="402"/>
    </row>
    <row r="1335" spans="1:6">
      <c r="A1335"/>
      <c r="B1335"/>
      <c r="C1335" s="402"/>
      <c r="D1335"/>
      <c r="E1335" s="402"/>
      <c r="F1335"/>
    </row>
    <row r="1336" spans="1:6">
      <c r="A1336"/>
      <c r="B1336"/>
      <c r="C1336" s="402"/>
      <c r="D1336"/>
      <c r="E1336" s="402"/>
      <c r="F1336"/>
    </row>
    <row r="1337" spans="1:6">
      <c r="A1337"/>
      <c r="B1337"/>
      <c r="C1337" s="402"/>
      <c r="D1337"/>
      <c r="E1337" s="402"/>
      <c r="F1337"/>
    </row>
    <row r="1338" spans="1:6">
      <c r="A1338"/>
      <c r="B1338"/>
      <c r="C1338" s="402"/>
      <c r="D1338"/>
      <c r="E1338" s="402"/>
      <c r="F1338"/>
    </row>
    <row r="1339" spans="1:6">
      <c r="A1339"/>
      <c r="B1339"/>
      <c r="C1339" s="402"/>
      <c r="D1339" s="402"/>
      <c r="E1339" s="402"/>
      <c r="F1339" s="402"/>
    </row>
    <row r="1340" spans="1:6">
      <c r="A1340"/>
      <c r="B1340"/>
      <c r="C1340" s="402"/>
      <c r="D1340" s="402"/>
      <c r="E1340" s="402"/>
      <c r="F1340" s="402"/>
    </row>
    <row r="1341" spans="1:6">
      <c r="A1341"/>
      <c r="B1341"/>
      <c r="C1341"/>
      <c r="D1341"/>
      <c r="E1341" s="402"/>
      <c r="F1341" s="402"/>
    </row>
    <row r="1342" spans="1:6">
      <c r="A1342"/>
      <c r="B1342"/>
      <c r="C1342"/>
      <c r="D1342"/>
      <c r="E1342" s="402"/>
      <c r="F1342" s="402"/>
    </row>
    <row r="1343" spans="1:6">
      <c r="A1343"/>
      <c r="B1343"/>
      <c r="C1343"/>
      <c r="D1343"/>
      <c r="E1343" s="402"/>
      <c r="F1343" s="402"/>
    </row>
    <row r="1344" spans="1:6">
      <c r="A1344"/>
      <c r="B1344"/>
      <c r="C1344"/>
      <c r="D1344"/>
      <c r="E1344" s="402"/>
      <c r="F1344" s="402"/>
    </row>
    <row r="1345" spans="1:6">
      <c r="A1345"/>
      <c r="B1345"/>
      <c r="C1345"/>
      <c r="D1345" s="402"/>
      <c r="E1345" s="402"/>
      <c r="F1345" s="402"/>
    </row>
    <row r="1346" spans="1:6">
      <c r="A1346"/>
      <c r="B1346"/>
      <c r="C1346"/>
      <c r="D1346" s="402"/>
      <c r="E1346" s="402"/>
      <c r="F1346" s="402"/>
    </row>
    <row r="1347" spans="1:6">
      <c r="A1347"/>
      <c r="B1347"/>
      <c r="C1347"/>
      <c r="D1347" s="402"/>
      <c r="E1347"/>
      <c r="F1347" s="402"/>
    </row>
    <row r="1348" spans="1:6">
      <c r="A1348"/>
      <c r="B1348"/>
      <c r="C1348"/>
      <c r="D1348" s="402"/>
      <c r="E1348"/>
      <c r="F1348" s="402"/>
    </row>
    <row r="1349" spans="1:6">
      <c r="A1349"/>
      <c r="B1349"/>
      <c r="C1349"/>
      <c r="D1349" s="402"/>
      <c r="E1349"/>
      <c r="F1349" s="402"/>
    </row>
    <row r="1350" spans="1:6">
      <c r="A1350"/>
      <c r="B1350"/>
      <c r="C1350"/>
      <c r="D1350" s="402"/>
      <c r="E1350"/>
      <c r="F1350" s="402"/>
    </row>
    <row r="1351" spans="1:6">
      <c r="A1351"/>
      <c r="B1351"/>
      <c r="C1351"/>
      <c r="D1351" s="402"/>
      <c r="E1351"/>
      <c r="F1351" s="402"/>
    </row>
    <row r="1352" spans="1:6">
      <c r="A1352"/>
      <c r="B1352"/>
      <c r="C1352"/>
      <c r="D1352" s="402"/>
      <c r="E1352" s="402"/>
      <c r="F1352"/>
    </row>
    <row r="1353" spans="1:6">
      <c r="A1353"/>
      <c r="B1353"/>
      <c r="C1353"/>
      <c r="D1353" s="402"/>
      <c r="E1353"/>
      <c r="F1353" s="402"/>
    </row>
    <row r="1354" spans="1:6">
      <c r="A1354"/>
      <c r="B1354"/>
      <c r="C1354"/>
      <c r="D1354" s="402"/>
      <c r="E1354" s="402"/>
      <c r="F1354" s="402"/>
    </row>
    <row r="1355" spans="1:6">
      <c r="A1355"/>
      <c r="B1355"/>
      <c r="C1355" s="402"/>
      <c r="D1355"/>
      <c r="E1355" s="402"/>
      <c r="F1355"/>
    </row>
    <row r="1356" spans="1:6">
      <c r="A1356"/>
      <c r="B1356"/>
      <c r="C1356" s="402"/>
      <c r="D1356"/>
      <c r="E1356" s="402"/>
      <c r="F1356"/>
    </row>
    <row r="1357" spans="1:6">
      <c r="A1357"/>
      <c r="B1357"/>
      <c r="C1357" s="402"/>
      <c r="D1357"/>
      <c r="E1357" s="402"/>
      <c r="F1357"/>
    </row>
    <row r="1358" spans="1:6">
      <c r="A1358"/>
      <c r="B1358"/>
      <c r="C1358" s="402"/>
      <c r="D1358"/>
      <c r="E1358" s="402"/>
      <c r="F1358"/>
    </row>
    <row r="1359" spans="1:6">
      <c r="A1359"/>
      <c r="B1359"/>
      <c r="C1359" s="402"/>
      <c r="D1359" s="402"/>
      <c r="E1359" s="402"/>
      <c r="F1359" s="402"/>
    </row>
    <row r="1360" spans="1:6">
      <c r="A1360"/>
      <c r="B1360"/>
      <c r="C1360" s="402"/>
      <c r="D1360" s="402"/>
      <c r="E1360" s="402"/>
      <c r="F1360" s="402"/>
    </row>
    <row r="1361" spans="1:6">
      <c r="A1361"/>
      <c r="B1361"/>
      <c r="C1361"/>
      <c r="D1361"/>
      <c r="E1361" s="402"/>
      <c r="F1361" s="402"/>
    </row>
    <row r="1362" spans="1:6">
      <c r="A1362"/>
      <c r="B1362"/>
      <c r="C1362"/>
      <c r="D1362"/>
      <c r="E1362" s="402"/>
      <c r="F1362" s="402"/>
    </row>
    <row r="1363" spans="1:6">
      <c r="A1363"/>
      <c r="B1363"/>
      <c r="C1363"/>
      <c r="D1363"/>
      <c r="E1363" s="402"/>
      <c r="F1363" s="402"/>
    </row>
    <row r="1364" spans="1:6">
      <c r="A1364"/>
      <c r="B1364"/>
      <c r="C1364"/>
      <c r="D1364"/>
      <c r="E1364" s="402"/>
      <c r="F1364" s="402"/>
    </row>
    <row r="1365" spans="1:6">
      <c r="A1365"/>
      <c r="B1365"/>
      <c r="C1365"/>
      <c r="D1365"/>
      <c r="E1365" s="402"/>
      <c r="F1365" s="402"/>
    </row>
    <row r="1366" spans="1:6">
      <c r="A1366"/>
      <c r="B1366"/>
      <c r="C1366"/>
      <c r="D1366"/>
      <c r="E1366" s="402"/>
      <c r="F1366" s="402"/>
    </row>
    <row r="1367" spans="1:6">
      <c r="A1367"/>
      <c r="B1367"/>
      <c r="C1367"/>
      <c r="D1367" s="402"/>
      <c r="E1367"/>
      <c r="F1367" s="402"/>
    </row>
    <row r="1368" spans="1:6">
      <c r="A1368"/>
      <c r="B1368"/>
      <c r="C1368"/>
      <c r="D1368" s="402"/>
      <c r="E1368" s="402"/>
      <c r="F1368"/>
    </row>
    <row r="1369" spans="1:6">
      <c r="A1369"/>
      <c r="B1369"/>
      <c r="C1369"/>
      <c r="D1369" s="402"/>
      <c r="E1369"/>
      <c r="F1369" s="402"/>
    </row>
    <row r="1370" spans="1:6">
      <c r="A1370"/>
      <c r="B1370"/>
      <c r="C1370"/>
      <c r="D1370" s="402"/>
      <c r="E1370" s="402"/>
      <c r="F1370" s="402"/>
    </row>
    <row r="1371" spans="1:6">
      <c r="A1371"/>
      <c r="B1371"/>
      <c r="C1371" s="402"/>
      <c r="D1371" s="402"/>
      <c r="E1371" s="402"/>
      <c r="F1371" s="402"/>
    </row>
    <row r="1372" spans="1:6">
      <c r="A1372"/>
      <c r="B1372"/>
      <c r="C1372" s="402"/>
      <c r="D1372" s="402"/>
      <c r="E1372" s="402"/>
      <c r="F1372" s="402"/>
    </row>
    <row r="1373" spans="1:6">
      <c r="A1373"/>
      <c r="B1373"/>
      <c r="C1373" s="402"/>
      <c r="D1373" s="402"/>
      <c r="E1373" s="402"/>
      <c r="F1373" s="402"/>
    </row>
    <row r="1374" spans="1:6">
      <c r="A1374"/>
      <c r="B1374"/>
      <c r="C1374" s="402"/>
      <c r="D1374" s="402"/>
      <c r="E1374" s="402"/>
      <c r="F1374" s="402"/>
    </row>
    <row r="1375" spans="1:6">
      <c r="A1375"/>
      <c r="B1375"/>
      <c r="C1375" s="402"/>
      <c r="D1375" s="402"/>
      <c r="E1375" s="402"/>
      <c r="F1375" s="402"/>
    </row>
    <row r="1376" spans="1:6">
      <c r="A1376"/>
      <c r="B1376"/>
      <c r="C1376" s="402"/>
      <c r="D1376" s="402"/>
      <c r="E1376" s="402"/>
      <c r="F1376" s="402"/>
    </row>
    <row r="1377" spans="1:6">
      <c r="A1377"/>
      <c r="B1377"/>
      <c r="C1377" s="402"/>
      <c r="D1377" s="402"/>
      <c r="E1377"/>
      <c r="F1377"/>
    </row>
    <row r="1378" spans="1:6">
      <c r="A1378"/>
      <c r="B1378"/>
      <c r="C1378"/>
      <c r="D1378" s="402"/>
      <c r="E1378"/>
      <c r="F1378" s="402"/>
    </row>
    <row r="1379" spans="1:6">
      <c r="A1379"/>
      <c r="B1379"/>
      <c r="C1379" s="402"/>
      <c r="D1379" s="402"/>
      <c r="E1379"/>
      <c r="F1379" s="402"/>
    </row>
    <row r="1380" spans="1:6">
      <c r="A1380"/>
      <c r="B1380"/>
      <c r="C1380" s="402"/>
      <c r="D1380" s="402"/>
      <c r="E1380" s="402"/>
      <c r="F1380" s="402"/>
    </row>
    <row r="1381" spans="1:6">
      <c r="A1381"/>
      <c r="B1381"/>
      <c r="C1381" s="402"/>
      <c r="D1381" s="402"/>
      <c r="E1381" s="402"/>
      <c r="F1381" s="402"/>
    </row>
    <row r="1382" spans="1:6">
      <c r="A1382"/>
      <c r="B1382"/>
      <c r="C1382" s="402"/>
      <c r="D1382" s="402"/>
      <c r="E1382" s="402"/>
      <c r="F1382" s="402"/>
    </row>
    <row r="1383" spans="1:6">
      <c r="A1383"/>
      <c r="B1383"/>
      <c r="C1383" s="402"/>
      <c r="D1383" s="402"/>
      <c r="E1383" s="402"/>
      <c r="F1383" s="402"/>
    </row>
    <row r="1384" spans="1:6">
      <c r="A1384"/>
      <c r="B1384"/>
      <c r="C1384" s="402"/>
      <c r="D1384" s="402"/>
      <c r="E1384" s="402"/>
      <c r="F1384" s="402"/>
    </row>
    <row r="1385" spans="1:6">
      <c r="A1385"/>
      <c r="B1385"/>
      <c r="C1385" s="402"/>
      <c r="D1385" s="402"/>
      <c r="E1385" s="402"/>
      <c r="F1385" s="402"/>
    </row>
    <row r="1386" spans="1:6">
      <c r="A1386"/>
      <c r="B1386"/>
      <c r="C1386" s="402"/>
      <c r="D1386" s="402"/>
      <c r="E1386" s="402"/>
      <c r="F1386" s="402"/>
    </row>
    <row r="1387" spans="1:6">
      <c r="A1387"/>
      <c r="B1387"/>
      <c r="C1387" s="402"/>
      <c r="D1387" s="402"/>
      <c r="E1387" s="402"/>
      <c r="F1387" s="402"/>
    </row>
    <row r="1388" spans="1:6">
      <c r="A1388"/>
      <c r="B1388"/>
      <c r="C1388" s="402"/>
      <c r="D1388" s="402"/>
      <c r="E1388" s="402"/>
      <c r="F1388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"/>
  <sheetViews>
    <sheetView topLeftCell="A10" workbookViewId="0">
      <selection activeCell="B21" sqref="B21"/>
    </sheetView>
  </sheetViews>
  <sheetFormatPr defaultRowHeight="12.75"/>
  <cols>
    <col min="1" max="1" width="9.85546875" style="130" customWidth="1"/>
    <col min="2" max="2" width="19.85546875" style="64" customWidth="1"/>
    <col min="3" max="3" width="13.7109375" style="64" customWidth="1"/>
    <col min="4" max="4" width="29.140625" style="64" customWidth="1"/>
    <col min="5" max="5" width="0.7109375" style="64" customWidth="1"/>
    <col min="6" max="6" width="9.7109375" style="64" customWidth="1"/>
    <col min="7" max="7" width="16" style="64" customWidth="1"/>
    <col min="8" max="8" width="7.5703125" style="64" customWidth="1"/>
    <col min="9" max="9" width="17.5703125" style="64" bestFit="1" customWidth="1"/>
    <col min="10" max="10" width="0.7109375" style="64" customWidth="1"/>
    <col min="11" max="11" width="20.85546875" style="64" customWidth="1"/>
    <col min="12" max="12" width="20.140625" style="64" customWidth="1"/>
    <col min="13" max="13" width="13.28515625" style="64" bestFit="1" customWidth="1"/>
    <col min="14" max="14" width="23.42578125" style="64" customWidth="1"/>
    <col min="15" max="15" width="11" style="64" bestFit="1" customWidth="1"/>
    <col min="16" max="16" width="12" style="64" bestFit="1" customWidth="1"/>
    <col min="17" max="17" width="9.140625" style="64"/>
    <col min="18" max="18" width="13.7109375" style="64" customWidth="1"/>
    <col min="19" max="256" width="9.140625" style="64"/>
    <col min="257" max="257" width="9.85546875" style="64" customWidth="1"/>
    <col min="258" max="258" width="24.5703125" style="64" customWidth="1"/>
    <col min="259" max="259" width="11.28515625" style="64" bestFit="1" customWidth="1"/>
    <col min="260" max="260" width="20.42578125" style="64" customWidth="1"/>
    <col min="261" max="261" width="0.7109375" style="64" customWidth="1"/>
    <col min="262" max="262" width="9.7109375" style="64" customWidth="1"/>
    <col min="263" max="263" width="16" style="64" customWidth="1"/>
    <col min="264" max="264" width="7.5703125" style="64" customWidth="1"/>
    <col min="265" max="265" width="16.5703125" style="64" customWidth="1"/>
    <col min="266" max="266" width="0.7109375" style="64" customWidth="1"/>
    <col min="267" max="267" width="10.140625" style="64" bestFit="1" customWidth="1"/>
    <col min="268" max="268" width="20.140625" style="64" customWidth="1"/>
    <col min="269" max="269" width="8.85546875" style="64" customWidth="1"/>
    <col min="270" max="270" width="20.42578125" style="64" customWidth="1"/>
    <col min="271" max="271" width="11" style="64" bestFit="1" customWidth="1"/>
    <col min="272" max="272" width="12" style="64" bestFit="1" customWidth="1"/>
    <col min="273" max="273" width="9.140625" style="64"/>
    <col min="274" max="274" width="13.7109375" style="64" customWidth="1"/>
    <col min="275" max="512" width="9.140625" style="64"/>
    <col min="513" max="513" width="9.85546875" style="64" customWidth="1"/>
    <col min="514" max="514" width="24.5703125" style="64" customWidth="1"/>
    <col min="515" max="515" width="11.28515625" style="64" bestFit="1" customWidth="1"/>
    <col min="516" max="516" width="20.42578125" style="64" customWidth="1"/>
    <col min="517" max="517" width="0.7109375" style="64" customWidth="1"/>
    <col min="518" max="518" width="9.7109375" style="64" customWidth="1"/>
    <col min="519" max="519" width="16" style="64" customWidth="1"/>
    <col min="520" max="520" width="7.5703125" style="64" customWidth="1"/>
    <col min="521" max="521" width="16.5703125" style="64" customWidth="1"/>
    <col min="522" max="522" width="0.7109375" style="64" customWidth="1"/>
    <col min="523" max="523" width="10.140625" style="64" bestFit="1" customWidth="1"/>
    <col min="524" max="524" width="20.140625" style="64" customWidth="1"/>
    <col min="525" max="525" width="8.85546875" style="64" customWidth="1"/>
    <col min="526" max="526" width="20.42578125" style="64" customWidth="1"/>
    <col min="527" max="527" width="11" style="64" bestFit="1" customWidth="1"/>
    <col min="528" max="528" width="12" style="64" bestFit="1" customWidth="1"/>
    <col min="529" max="529" width="9.140625" style="64"/>
    <col min="530" max="530" width="13.7109375" style="64" customWidth="1"/>
    <col min="531" max="768" width="9.140625" style="64"/>
    <col min="769" max="769" width="9.85546875" style="64" customWidth="1"/>
    <col min="770" max="770" width="24.5703125" style="64" customWidth="1"/>
    <col min="771" max="771" width="11.28515625" style="64" bestFit="1" customWidth="1"/>
    <col min="772" max="772" width="20.42578125" style="64" customWidth="1"/>
    <col min="773" max="773" width="0.7109375" style="64" customWidth="1"/>
    <col min="774" max="774" width="9.7109375" style="64" customWidth="1"/>
    <col min="775" max="775" width="16" style="64" customWidth="1"/>
    <col min="776" max="776" width="7.5703125" style="64" customWidth="1"/>
    <col min="777" max="777" width="16.5703125" style="64" customWidth="1"/>
    <col min="778" max="778" width="0.7109375" style="64" customWidth="1"/>
    <col min="779" max="779" width="10.140625" style="64" bestFit="1" customWidth="1"/>
    <col min="780" max="780" width="20.140625" style="64" customWidth="1"/>
    <col min="781" max="781" width="8.85546875" style="64" customWidth="1"/>
    <col min="782" max="782" width="20.42578125" style="64" customWidth="1"/>
    <col min="783" max="783" width="11" style="64" bestFit="1" customWidth="1"/>
    <col min="784" max="784" width="12" style="64" bestFit="1" customWidth="1"/>
    <col min="785" max="785" width="9.140625" style="64"/>
    <col min="786" max="786" width="13.7109375" style="64" customWidth="1"/>
    <col min="787" max="1024" width="9.140625" style="64"/>
    <col min="1025" max="1025" width="9.85546875" style="64" customWidth="1"/>
    <col min="1026" max="1026" width="24.5703125" style="64" customWidth="1"/>
    <col min="1027" max="1027" width="11.28515625" style="64" bestFit="1" customWidth="1"/>
    <col min="1028" max="1028" width="20.42578125" style="64" customWidth="1"/>
    <col min="1029" max="1029" width="0.7109375" style="64" customWidth="1"/>
    <col min="1030" max="1030" width="9.7109375" style="64" customWidth="1"/>
    <col min="1031" max="1031" width="16" style="64" customWidth="1"/>
    <col min="1032" max="1032" width="7.5703125" style="64" customWidth="1"/>
    <col min="1033" max="1033" width="16.5703125" style="64" customWidth="1"/>
    <col min="1034" max="1034" width="0.7109375" style="64" customWidth="1"/>
    <col min="1035" max="1035" width="10.140625" style="64" bestFit="1" customWidth="1"/>
    <col min="1036" max="1036" width="20.140625" style="64" customWidth="1"/>
    <col min="1037" max="1037" width="8.85546875" style="64" customWidth="1"/>
    <col min="1038" max="1038" width="20.42578125" style="64" customWidth="1"/>
    <col min="1039" max="1039" width="11" style="64" bestFit="1" customWidth="1"/>
    <col min="1040" max="1040" width="12" style="64" bestFit="1" customWidth="1"/>
    <col min="1041" max="1041" width="9.140625" style="64"/>
    <col min="1042" max="1042" width="13.7109375" style="64" customWidth="1"/>
    <col min="1043" max="1280" width="9.140625" style="64"/>
    <col min="1281" max="1281" width="9.85546875" style="64" customWidth="1"/>
    <col min="1282" max="1282" width="24.5703125" style="64" customWidth="1"/>
    <col min="1283" max="1283" width="11.28515625" style="64" bestFit="1" customWidth="1"/>
    <col min="1284" max="1284" width="20.42578125" style="64" customWidth="1"/>
    <col min="1285" max="1285" width="0.7109375" style="64" customWidth="1"/>
    <col min="1286" max="1286" width="9.7109375" style="64" customWidth="1"/>
    <col min="1287" max="1287" width="16" style="64" customWidth="1"/>
    <col min="1288" max="1288" width="7.5703125" style="64" customWidth="1"/>
    <col min="1289" max="1289" width="16.5703125" style="64" customWidth="1"/>
    <col min="1290" max="1290" width="0.7109375" style="64" customWidth="1"/>
    <col min="1291" max="1291" width="10.140625" style="64" bestFit="1" customWidth="1"/>
    <col min="1292" max="1292" width="20.140625" style="64" customWidth="1"/>
    <col min="1293" max="1293" width="8.85546875" style="64" customWidth="1"/>
    <col min="1294" max="1294" width="20.42578125" style="64" customWidth="1"/>
    <col min="1295" max="1295" width="11" style="64" bestFit="1" customWidth="1"/>
    <col min="1296" max="1296" width="12" style="64" bestFit="1" customWidth="1"/>
    <col min="1297" max="1297" width="9.140625" style="64"/>
    <col min="1298" max="1298" width="13.7109375" style="64" customWidth="1"/>
    <col min="1299" max="1536" width="9.140625" style="64"/>
    <col min="1537" max="1537" width="9.85546875" style="64" customWidth="1"/>
    <col min="1538" max="1538" width="24.5703125" style="64" customWidth="1"/>
    <col min="1539" max="1539" width="11.28515625" style="64" bestFit="1" customWidth="1"/>
    <col min="1540" max="1540" width="20.42578125" style="64" customWidth="1"/>
    <col min="1541" max="1541" width="0.7109375" style="64" customWidth="1"/>
    <col min="1542" max="1542" width="9.7109375" style="64" customWidth="1"/>
    <col min="1543" max="1543" width="16" style="64" customWidth="1"/>
    <col min="1544" max="1544" width="7.5703125" style="64" customWidth="1"/>
    <col min="1545" max="1545" width="16.5703125" style="64" customWidth="1"/>
    <col min="1546" max="1546" width="0.7109375" style="64" customWidth="1"/>
    <col min="1547" max="1547" width="10.140625" style="64" bestFit="1" customWidth="1"/>
    <col min="1548" max="1548" width="20.140625" style="64" customWidth="1"/>
    <col min="1549" max="1549" width="8.85546875" style="64" customWidth="1"/>
    <col min="1550" max="1550" width="20.42578125" style="64" customWidth="1"/>
    <col min="1551" max="1551" width="11" style="64" bestFit="1" customWidth="1"/>
    <col min="1552" max="1552" width="12" style="64" bestFit="1" customWidth="1"/>
    <col min="1553" max="1553" width="9.140625" style="64"/>
    <col min="1554" max="1554" width="13.7109375" style="64" customWidth="1"/>
    <col min="1555" max="1792" width="9.140625" style="64"/>
    <col min="1793" max="1793" width="9.85546875" style="64" customWidth="1"/>
    <col min="1794" max="1794" width="24.5703125" style="64" customWidth="1"/>
    <col min="1795" max="1795" width="11.28515625" style="64" bestFit="1" customWidth="1"/>
    <col min="1796" max="1796" width="20.42578125" style="64" customWidth="1"/>
    <col min="1797" max="1797" width="0.7109375" style="64" customWidth="1"/>
    <col min="1798" max="1798" width="9.7109375" style="64" customWidth="1"/>
    <col min="1799" max="1799" width="16" style="64" customWidth="1"/>
    <col min="1800" max="1800" width="7.5703125" style="64" customWidth="1"/>
    <col min="1801" max="1801" width="16.5703125" style="64" customWidth="1"/>
    <col min="1802" max="1802" width="0.7109375" style="64" customWidth="1"/>
    <col min="1803" max="1803" width="10.140625" style="64" bestFit="1" customWidth="1"/>
    <col min="1804" max="1804" width="20.140625" style="64" customWidth="1"/>
    <col min="1805" max="1805" width="8.85546875" style="64" customWidth="1"/>
    <col min="1806" max="1806" width="20.42578125" style="64" customWidth="1"/>
    <col min="1807" max="1807" width="11" style="64" bestFit="1" customWidth="1"/>
    <col min="1808" max="1808" width="12" style="64" bestFit="1" customWidth="1"/>
    <col min="1809" max="1809" width="9.140625" style="64"/>
    <col min="1810" max="1810" width="13.7109375" style="64" customWidth="1"/>
    <col min="1811" max="2048" width="9.140625" style="64"/>
    <col min="2049" max="2049" width="9.85546875" style="64" customWidth="1"/>
    <col min="2050" max="2050" width="24.5703125" style="64" customWidth="1"/>
    <col min="2051" max="2051" width="11.28515625" style="64" bestFit="1" customWidth="1"/>
    <col min="2052" max="2052" width="20.42578125" style="64" customWidth="1"/>
    <col min="2053" max="2053" width="0.7109375" style="64" customWidth="1"/>
    <col min="2054" max="2054" width="9.7109375" style="64" customWidth="1"/>
    <col min="2055" max="2055" width="16" style="64" customWidth="1"/>
    <col min="2056" max="2056" width="7.5703125" style="64" customWidth="1"/>
    <col min="2057" max="2057" width="16.5703125" style="64" customWidth="1"/>
    <col min="2058" max="2058" width="0.7109375" style="64" customWidth="1"/>
    <col min="2059" max="2059" width="10.140625" style="64" bestFit="1" customWidth="1"/>
    <col min="2060" max="2060" width="20.140625" style="64" customWidth="1"/>
    <col min="2061" max="2061" width="8.85546875" style="64" customWidth="1"/>
    <col min="2062" max="2062" width="20.42578125" style="64" customWidth="1"/>
    <col min="2063" max="2063" width="11" style="64" bestFit="1" customWidth="1"/>
    <col min="2064" max="2064" width="12" style="64" bestFit="1" customWidth="1"/>
    <col min="2065" max="2065" width="9.140625" style="64"/>
    <col min="2066" max="2066" width="13.7109375" style="64" customWidth="1"/>
    <col min="2067" max="2304" width="9.140625" style="64"/>
    <col min="2305" max="2305" width="9.85546875" style="64" customWidth="1"/>
    <col min="2306" max="2306" width="24.5703125" style="64" customWidth="1"/>
    <col min="2307" max="2307" width="11.28515625" style="64" bestFit="1" customWidth="1"/>
    <col min="2308" max="2308" width="20.42578125" style="64" customWidth="1"/>
    <col min="2309" max="2309" width="0.7109375" style="64" customWidth="1"/>
    <col min="2310" max="2310" width="9.7109375" style="64" customWidth="1"/>
    <col min="2311" max="2311" width="16" style="64" customWidth="1"/>
    <col min="2312" max="2312" width="7.5703125" style="64" customWidth="1"/>
    <col min="2313" max="2313" width="16.5703125" style="64" customWidth="1"/>
    <col min="2314" max="2314" width="0.7109375" style="64" customWidth="1"/>
    <col min="2315" max="2315" width="10.140625" style="64" bestFit="1" customWidth="1"/>
    <col min="2316" max="2316" width="20.140625" style="64" customWidth="1"/>
    <col min="2317" max="2317" width="8.85546875" style="64" customWidth="1"/>
    <col min="2318" max="2318" width="20.42578125" style="64" customWidth="1"/>
    <col min="2319" max="2319" width="11" style="64" bestFit="1" customWidth="1"/>
    <col min="2320" max="2320" width="12" style="64" bestFit="1" customWidth="1"/>
    <col min="2321" max="2321" width="9.140625" style="64"/>
    <col min="2322" max="2322" width="13.7109375" style="64" customWidth="1"/>
    <col min="2323" max="2560" width="9.140625" style="64"/>
    <col min="2561" max="2561" width="9.85546875" style="64" customWidth="1"/>
    <col min="2562" max="2562" width="24.5703125" style="64" customWidth="1"/>
    <col min="2563" max="2563" width="11.28515625" style="64" bestFit="1" customWidth="1"/>
    <col min="2564" max="2564" width="20.42578125" style="64" customWidth="1"/>
    <col min="2565" max="2565" width="0.7109375" style="64" customWidth="1"/>
    <col min="2566" max="2566" width="9.7109375" style="64" customWidth="1"/>
    <col min="2567" max="2567" width="16" style="64" customWidth="1"/>
    <col min="2568" max="2568" width="7.5703125" style="64" customWidth="1"/>
    <col min="2569" max="2569" width="16.5703125" style="64" customWidth="1"/>
    <col min="2570" max="2570" width="0.7109375" style="64" customWidth="1"/>
    <col min="2571" max="2571" width="10.140625" style="64" bestFit="1" customWidth="1"/>
    <col min="2572" max="2572" width="20.140625" style="64" customWidth="1"/>
    <col min="2573" max="2573" width="8.85546875" style="64" customWidth="1"/>
    <col min="2574" max="2574" width="20.42578125" style="64" customWidth="1"/>
    <col min="2575" max="2575" width="11" style="64" bestFit="1" customWidth="1"/>
    <col min="2576" max="2576" width="12" style="64" bestFit="1" customWidth="1"/>
    <col min="2577" max="2577" width="9.140625" style="64"/>
    <col min="2578" max="2578" width="13.7109375" style="64" customWidth="1"/>
    <col min="2579" max="2816" width="9.140625" style="64"/>
    <col min="2817" max="2817" width="9.85546875" style="64" customWidth="1"/>
    <col min="2818" max="2818" width="24.5703125" style="64" customWidth="1"/>
    <col min="2819" max="2819" width="11.28515625" style="64" bestFit="1" customWidth="1"/>
    <col min="2820" max="2820" width="20.42578125" style="64" customWidth="1"/>
    <col min="2821" max="2821" width="0.7109375" style="64" customWidth="1"/>
    <col min="2822" max="2822" width="9.7109375" style="64" customWidth="1"/>
    <col min="2823" max="2823" width="16" style="64" customWidth="1"/>
    <col min="2824" max="2824" width="7.5703125" style="64" customWidth="1"/>
    <col min="2825" max="2825" width="16.5703125" style="64" customWidth="1"/>
    <col min="2826" max="2826" width="0.7109375" style="64" customWidth="1"/>
    <col min="2827" max="2827" width="10.140625" style="64" bestFit="1" customWidth="1"/>
    <col min="2828" max="2828" width="20.140625" style="64" customWidth="1"/>
    <col min="2829" max="2829" width="8.85546875" style="64" customWidth="1"/>
    <col min="2830" max="2830" width="20.42578125" style="64" customWidth="1"/>
    <col min="2831" max="2831" width="11" style="64" bestFit="1" customWidth="1"/>
    <col min="2832" max="2832" width="12" style="64" bestFit="1" customWidth="1"/>
    <col min="2833" max="2833" width="9.140625" style="64"/>
    <col min="2834" max="2834" width="13.7109375" style="64" customWidth="1"/>
    <col min="2835" max="3072" width="9.140625" style="64"/>
    <col min="3073" max="3073" width="9.85546875" style="64" customWidth="1"/>
    <col min="3074" max="3074" width="24.5703125" style="64" customWidth="1"/>
    <col min="3075" max="3075" width="11.28515625" style="64" bestFit="1" customWidth="1"/>
    <col min="3076" max="3076" width="20.42578125" style="64" customWidth="1"/>
    <col min="3077" max="3077" width="0.7109375" style="64" customWidth="1"/>
    <col min="3078" max="3078" width="9.7109375" style="64" customWidth="1"/>
    <col min="3079" max="3079" width="16" style="64" customWidth="1"/>
    <col min="3080" max="3080" width="7.5703125" style="64" customWidth="1"/>
    <col min="3081" max="3081" width="16.5703125" style="64" customWidth="1"/>
    <col min="3082" max="3082" width="0.7109375" style="64" customWidth="1"/>
    <col min="3083" max="3083" width="10.140625" style="64" bestFit="1" customWidth="1"/>
    <col min="3084" max="3084" width="20.140625" style="64" customWidth="1"/>
    <col min="3085" max="3085" width="8.85546875" style="64" customWidth="1"/>
    <col min="3086" max="3086" width="20.42578125" style="64" customWidth="1"/>
    <col min="3087" max="3087" width="11" style="64" bestFit="1" customWidth="1"/>
    <col min="3088" max="3088" width="12" style="64" bestFit="1" customWidth="1"/>
    <col min="3089" max="3089" width="9.140625" style="64"/>
    <col min="3090" max="3090" width="13.7109375" style="64" customWidth="1"/>
    <col min="3091" max="3328" width="9.140625" style="64"/>
    <col min="3329" max="3329" width="9.85546875" style="64" customWidth="1"/>
    <col min="3330" max="3330" width="24.5703125" style="64" customWidth="1"/>
    <col min="3331" max="3331" width="11.28515625" style="64" bestFit="1" customWidth="1"/>
    <col min="3332" max="3332" width="20.42578125" style="64" customWidth="1"/>
    <col min="3333" max="3333" width="0.7109375" style="64" customWidth="1"/>
    <col min="3334" max="3334" width="9.7109375" style="64" customWidth="1"/>
    <col min="3335" max="3335" width="16" style="64" customWidth="1"/>
    <col min="3336" max="3336" width="7.5703125" style="64" customWidth="1"/>
    <col min="3337" max="3337" width="16.5703125" style="64" customWidth="1"/>
    <col min="3338" max="3338" width="0.7109375" style="64" customWidth="1"/>
    <col min="3339" max="3339" width="10.140625" style="64" bestFit="1" customWidth="1"/>
    <col min="3340" max="3340" width="20.140625" style="64" customWidth="1"/>
    <col min="3341" max="3341" width="8.85546875" style="64" customWidth="1"/>
    <col min="3342" max="3342" width="20.42578125" style="64" customWidth="1"/>
    <col min="3343" max="3343" width="11" style="64" bestFit="1" customWidth="1"/>
    <col min="3344" max="3344" width="12" style="64" bestFit="1" customWidth="1"/>
    <col min="3345" max="3345" width="9.140625" style="64"/>
    <col min="3346" max="3346" width="13.7109375" style="64" customWidth="1"/>
    <col min="3347" max="3584" width="9.140625" style="64"/>
    <col min="3585" max="3585" width="9.85546875" style="64" customWidth="1"/>
    <col min="3586" max="3586" width="24.5703125" style="64" customWidth="1"/>
    <col min="3587" max="3587" width="11.28515625" style="64" bestFit="1" customWidth="1"/>
    <col min="3588" max="3588" width="20.42578125" style="64" customWidth="1"/>
    <col min="3589" max="3589" width="0.7109375" style="64" customWidth="1"/>
    <col min="3590" max="3590" width="9.7109375" style="64" customWidth="1"/>
    <col min="3591" max="3591" width="16" style="64" customWidth="1"/>
    <col min="3592" max="3592" width="7.5703125" style="64" customWidth="1"/>
    <col min="3593" max="3593" width="16.5703125" style="64" customWidth="1"/>
    <col min="3594" max="3594" width="0.7109375" style="64" customWidth="1"/>
    <col min="3595" max="3595" width="10.140625" style="64" bestFit="1" customWidth="1"/>
    <col min="3596" max="3596" width="20.140625" style="64" customWidth="1"/>
    <col min="3597" max="3597" width="8.85546875" style="64" customWidth="1"/>
    <col min="3598" max="3598" width="20.42578125" style="64" customWidth="1"/>
    <col min="3599" max="3599" width="11" style="64" bestFit="1" customWidth="1"/>
    <col min="3600" max="3600" width="12" style="64" bestFit="1" customWidth="1"/>
    <col min="3601" max="3601" width="9.140625" style="64"/>
    <col min="3602" max="3602" width="13.7109375" style="64" customWidth="1"/>
    <col min="3603" max="3840" width="9.140625" style="64"/>
    <col min="3841" max="3841" width="9.85546875" style="64" customWidth="1"/>
    <col min="3842" max="3842" width="24.5703125" style="64" customWidth="1"/>
    <col min="3843" max="3843" width="11.28515625" style="64" bestFit="1" customWidth="1"/>
    <col min="3844" max="3844" width="20.42578125" style="64" customWidth="1"/>
    <col min="3845" max="3845" width="0.7109375" style="64" customWidth="1"/>
    <col min="3846" max="3846" width="9.7109375" style="64" customWidth="1"/>
    <col min="3847" max="3847" width="16" style="64" customWidth="1"/>
    <col min="3848" max="3848" width="7.5703125" style="64" customWidth="1"/>
    <col min="3849" max="3849" width="16.5703125" style="64" customWidth="1"/>
    <col min="3850" max="3850" width="0.7109375" style="64" customWidth="1"/>
    <col min="3851" max="3851" width="10.140625" style="64" bestFit="1" customWidth="1"/>
    <col min="3852" max="3852" width="20.140625" style="64" customWidth="1"/>
    <col min="3853" max="3853" width="8.85546875" style="64" customWidth="1"/>
    <col min="3854" max="3854" width="20.42578125" style="64" customWidth="1"/>
    <col min="3855" max="3855" width="11" style="64" bestFit="1" customWidth="1"/>
    <col min="3856" max="3856" width="12" style="64" bestFit="1" customWidth="1"/>
    <col min="3857" max="3857" width="9.140625" style="64"/>
    <col min="3858" max="3858" width="13.7109375" style="64" customWidth="1"/>
    <col min="3859" max="4096" width="9.140625" style="64"/>
    <col min="4097" max="4097" width="9.85546875" style="64" customWidth="1"/>
    <col min="4098" max="4098" width="24.5703125" style="64" customWidth="1"/>
    <col min="4099" max="4099" width="11.28515625" style="64" bestFit="1" customWidth="1"/>
    <col min="4100" max="4100" width="20.42578125" style="64" customWidth="1"/>
    <col min="4101" max="4101" width="0.7109375" style="64" customWidth="1"/>
    <col min="4102" max="4102" width="9.7109375" style="64" customWidth="1"/>
    <col min="4103" max="4103" width="16" style="64" customWidth="1"/>
    <col min="4104" max="4104" width="7.5703125" style="64" customWidth="1"/>
    <col min="4105" max="4105" width="16.5703125" style="64" customWidth="1"/>
    <col min="4106" max="4106" width="0.7109375" style="64" customWidth="1"/>
    <col min="4107" max="4107" width="10.140625" style="64" bestFit="1" customWidth="1"/>
    <col min="4108" max="4108" width="20.140625" style="64" customWidth="1"/>
    <col min="4109" max="4109" width="8.85546875" style="64" customWidth="1"/>
    <col min="4110" max="4110" width="20.42578125" style="64" customWidth="1"/>
    <col min="4111" max="4111" width="11" style="64" bestFit="1" customWidth="1"/>
    <col min="4112" max="4112" width="12" style="64" bestFit="1" customWidth="1"/>
    <col min="4113" max="4113" width="9.140625" style="64"/>
    <col min="4114" max="4114" width="13.7109375" style="64" customWidth="1"/>
    <col min="4115" max="4352" width="9.140625" style="64"/>
    <col min="4353" max="4353" width="9.85546875" style="64" customWidth="1"/>
    <col min="4354" max="4354" width="24.5703125" style="64" customWidth="1"/>
    <col min="4355" max="4355" width="11.28515625" style="64" bestFit="1" customWidth="1"/>
    <col min="4356" max="4356" width="20.42578125" style="64" customWidth="1"/>
    <col min="4357" max="4357" width="0.7109375" style="64" customWidth="1"/>
    <col min="4358" max="4358" width="9.7109375" style="64" customWidth="1"/>
    <col min="4359" max="4359" width="16" style="64" customWidth="1"/>
    <col min="4360" max="4360" width="7.5703125" style="64" customWidth="1"/>
    <col min="4361" max="4361" width="16.5703125" style="64" customWidth="1"/>
    <col min="4362" max="4362" width="0.7109375" style="64" customWidth="1"/>
    <col min="4363" max="4363" width="10.140625" style="64" bestFit="1" customWidth="1"/>
    <col min="4364" max="4364" width="20.140625" style="64" customWidth="1"/>
    <col min="4365" max="4365" width="8.85546875" style="64" customWidth="1"/>
    <col min="4366" max="4366" width="20.42578125" style="64" customWidth="1"/>
    <col min="4367" max="4367" width="11" style="64" bestFit="1" customWidth="1"/>
    <col min="4368" max="4368" width="12" style="64" bestFit="1" customWidth="1"/>
    <col min="4369" max="4369" width="9.140625" style="64"/>
    <col min="4370" max="4370" width="13.7109375" style="64" customWidth="1"/>
    <col min="4371" max="4608" width="9.140625" style="64"/>
    <col min="4609" max="4609" width="9.85546875" style="64" customWidth="1"/>
    <col min="4610" max="4610" width="24.5703125" style="64" customWidth="1"/>
    <col min="4611" max="4611" width="11.28515625" style="64" bestFit="1" customWidth="1"/>
    <col min="4612" max="4612" width="20.42578125" style="64" customWidth="1"/>
    <col min="4613" max="4613" width="0.7109375" style="64" customWidth="1"/>
    <col min="4614" max="4614" width="9.7109375" style="64" customWidth="1"/>
    <col min="4615" max="4615" width="16" style="64" customWidth="1"/>
    <col min="4616" max="4616" width="7.5703125" style="64" customWidth="1"/>
    <col min="4617" max="4617" width="16.5703125" style="64" customWidth="1"/>
    <col min="4618" max="4618" width="0.7109375" style="64" customWidth="1"/>
    <col min="4619" max="4619" width="10.140625" style="64" bestFit="1" customWidth="1"/>
    <col min="4620" max="4620" width="20.140625" style="64" customWidth="1"/>
    <col min="4621" max="4621" width="8.85546875" style="64" customWidth="1"/>
    <col min="4622" max="4622" width="20.42578125" style="64" customWidth="1"/>
    <col min="4623" max="4623" width="11" style="64" bestFit="1" customWidth="1"/>
    <col min="4624" max="4624" width="12" style="64" bestFit="1" customWidth="1"/>
    <col min="4625" max="4625" width="9.140625" style="64"/>
    <col min="4626" max="4626" width="13.7109375" style="64" customWidth="1"/>
    <col min="4627" max="4864" width="9.140625" style="64"/>
    <col min="4865" max="4865" width="9.85546875" style="64" customWidth="1"/>
    <col min="4866" max="4866" width="24.5703125" style="64" customWidth="1"/>
    <col min="4867" max="4867" width="11.28515625" style="64" bestFit="1" customWidth="1"/>
    <col min="4868" max="4868" width="20.42578125" style="64" customWidth="1"/>
    <col min="4869" max="4869" width="0.7109375" style="64" customWidth="1"/>
    <col min="4870" max="4870" width="9.7109375" style="64" customWidth="1"/>
    <col min="4871" max="4871" width="16" style="64" customWidth="1"/>
    <col min="4872" max="4872" width="7.5703125" style="64" customWidth="1"/>
    <col min="4873" max="4873" width="16.5703125" style="64" customWidth="1"/>
    <col min="4874" max="4874" width="0.7109375" style="64" customWidth="1"/>
    <col min="4875" max="4875" width="10.140625" style="64" bestFit="1" customWidth="1"/>
    <col min="4876" max="4876" width="20.140625" style="64" customWidth="1"/>
    <col min="4877" max="4877" width="8.85546875" style="64" customWidth="1"/>
    <col min="4878" max="4878" width="20.42578125" style="64" customWidth="1"/>
    <col min="4879" max="4879" width="11" style="64" bestFit="1" customWidth="1"/>
    <col min="4880" max="4880" width="12" style="64" bestFit="1" customWidth="1"/>
    <col min="4881" max="4881" width="9.140625" style="64"/>
    <col min="4882" max="4882" width="13.7109375" style="64" customWidth="1"/>
    <col min="4883" max="5120" width="9.140625" style="64"/>
    <col min="5121" max="5121" width="9.85546875" style="64" customWidth="1"/>
    <col min="5122" max="5122" width="24.5703125" style="64" customWidth="1"/>
    <col min="5123" max="5123" width="11.28515625" style="64" bestFit="1" customWidth="1"/>
    <col min="5124" max="5124" width="20.42578125" style="64" customWidth="1"/>
    <col min="5125" max="5125" width="0.7109375" style="64" customWidth="1"/>
    <col min="5126" max="5126" width="9.7109375" style="64" customWidth="1"/>
    <col min="5127" max="5127" width="16" style="64" customWidth="1"/>
    <col min="5128" max="5128" width="7.5703125" style="64" customWidth="1"/>
    <col min="5129" max="5129" width="16.5703125" style="64" customWidth="1"/>
    <col min="5130" max="5130" width="0.7109375" style="64" customWidth="1"/>
    <col min="5131" max="5131" width="10.140625" style="64" bestFit="1" customWidth="1"/>
    <col min="5132" max="5132" width="20.140625" style="64" customWidth="1"/>
    <col min="5133" max="5133" width="8.85546875" style="64" customWidth="1"/>
    <col min="5134" max="5134" width="20.42578125" style="64" customWidth="1"/>
    <col min="5135" max="5135" width="11" style="64" bestFit="1" customWidth="1"/>
    <col min="5136" max="5136" width="12" style="64" bestFit="1" customWidth="1"/>
    <col min="5137" max="5137" width="9.140625" style="64"/>
    <col min="5138" max="5138" width="13.7109375" style="64" customWidth="1"/>
    <col min="5139" max="5376" width="9.140625" style="64"/>
    <col min="5377" max="5377" width="9.85546875" style="64" customWidth="1"/>
    <col min="5378" max="5378" width="24.5703125" style="64" customWidth="1"/>
    <col min="5379" max="5379" width="11.28515625" style="64" bestFit="1" customWidth="1"/>
    <col min="5380" max="5380" width="20.42578125" style="64" customWidth="1"/>
    <col min="5381" max="5381" width="0.7109375" style="64" customWidth="1"/>
    <col min="5382" max="5382" width="9.7109375" style="64" customWidth="1"/>
    <col min="5383" max="5383" width="16" style="64" customWidth="1"/>
    <col min="5384" max="5384" width="7.5703125" style="64" customWidth="1"/>
    <col min="5385" max="5385" width="16.5703125" style="64" customWidth="1"/>
    <col min="5386" max="5386" width="0.7109375" style="64" customWidth="1"/>
    <col min="5387" max="5387" width="10.140625" style="64" bestFit="1" customWidth="1"/>
    <col min="5388" max="5388" width="20.140625" style="64" customWidth="1"/>
    <col min="5389" max="5389" width="8.85546875" style="64" customWidth="1"/>
    <col min="5390" max="5390" width="20.42578125" style="64" customWidth="1"/>
    <col min="5391" max="5391" width="11" style="64" bestFit="1" customWidth="1"/>
    <col min="5392" max="5392" width="12" style="64" bestFit="1" customWidth="1"/>
    <col min="5393" max="5393" width="9.140625" style="64"/>
    <col min="5394" max="5394" width="13.7109375" style="64" customWidth="1"/>
    <col min="5395" max="5632" width="9.140625" style="64"/>
    <col min="5633" max="5633" width="9.85546875" style="64" customWidth="1"/>
    <col min="5634" max="5634" width="24.5703125" style="64" customWidth="1"/>
    <col min="5635" max="5635" width="11.28515625" style="64" bestFit="1" customWidth="1"/>
    <col min="5636" max="5636" width="20.42578125" style="64" customWidth="1"/>
    <col min="5637" max="5637" width="0.7109375" style="64" customWidth="1"/>
    <col min="5638" max="5638" width="9.7109375" style="64" customWidth="1"/>
    <col min="5639" max="5639" width="16" style="64" customWidth="1"/>
    <col min="5640" max="5640" width="7.5703125" style="64" customWidth="1"/>
    <col min="5641" max="5641" width="16.5703125" style="64" customWidth="1"/>
    <col min="5642" max="5642" width="0.7109375" style="64" customWidth="1"/>
    <col min="5643" max="5643" width="10.140625" style="64" bestFit="1" customWidth="1"/>
    <col min="5644" max="5644" width="20.140625" style="64" customWidth="1"/>
    <col min="5645" max="5645" width="8.85546875" style="64" customWidth="1"/>
    <col min="5646" max="5646" width="20.42578125" style="64" customWidth="1"/>
    <col min="5647" max="5647" width="11" style="64" bestFit="1" customWidth="1"/>
    <col min="5648" max="5648" width="12" style="64" bestFit="1" customWidth="1"/>
    <col min="5649" max="5649" width="9.140625" style="64"/>
    <col min="5650" max="5650" width="13.7109375" style="64" customWidth="1"/>
    <col min="5651" max="5888" width="9.140625" style="64"/>
    <col min="5889" max="5889" width="9.85546875" style="64" customWidth="1"/>
    <col min="5890" max="5890" width="24.5703125" style="64" customWidth="1"/>
    <col min="5891" max="5891" width="11.28515625" style="64" bestFit="1" customWidth="1"/>
    <col min="5892" max="5892" width="20.42578125" style="64" customWidth="1"/>
    <col min="5893" max="5893" width="0.7109375" style="64" customWidth="1"/>
    <col min="5894" max="5894" width="9.7109375" style="64" customWidth="1"/>
    <col min="5895" max="5895" width="16" style="64" customWidth="1"/>
    <col min="5896" max="5896" width="7.5703125" style="64" customWidth="1"/>
    <col min="5897" max="5897" width="16.5703125" style="64" customWidth="1"/>
    <col min="5898" max="5898" width="0.7109375" style="64" customWidth="1"/>
    <col min="5899" max="5899" width="10.140625" style="64" bestFit="1" customWidth="1"/>
    <col min="5900" max="5900" width="20.140625" style="64" customWidth="1"/>
    <col min="5901" max="5901" width="8.85546875" style="64" customWidth="1"/>
    <col min="5902" max="5902" width="20.42578125" style="64" customWidth="1"/>
    <col min="5903" max="5903" width="11" style="64" bestFit="1" customWidth="1"/>
    <col min="5904" max="5904" width="12" style="64" bestFit="1" customWidth="1"/>
    <col min="5905" max="5905" width="9.140625" style="64"/>
    <col min="5906" max="5906" width="13.7109375" style="64" customWidth="1"/>
    <col min="5907" max="6144" width="9.140625" style="64"/>
    <col min="6145" max="6145" width="9.85546875" style="64" customWidth="1"/>
    <col min="6146" max="6146" width="24.5703125" style="64" customWidth="1"/>
    <col min="6147" max="6147" width="11.28515625" style="64" bestFit="1" customWidth="1"/>
    <col min="6148" max="6148" width="20.42578125" style="64" customWidth="1"/>
    <col min="6149" max="6149" width="0.7109375" style="64" customWidth="1"/>
    <col min="6150" max="6150" width="9.7109375" style="64" customWidth="1"/>
    <col min="6151" max="6151" width="16" style="64" customWidth="1"/>
    <col min="6152" max="6152" width="7.5703125" style="64" customWidth="1"/>
    <col min="6153" max="6153" width="16.5703125" style="64" customWidth="1"/>
    <col min="6154" max="6154" width="0.7109375" style="64" customWidth="1"/>
    <col min="6155" max="6155" width="10.140625" style="64" bestFit="1" customWidth="1"/>
    <col min="6156" max="6156" width="20.140625" style="64" customWidth="1"/>
    <col min="6157" max="6157" width="8.85546875" style="64" customWidth="1"/>
    <col min="6158" max="6158" width="20.42578125" style="64" customWidth="1"/>
    <col min="6159" max="6159" width="11" style="64" bestFit="1" customWidth="1"/>
    <col min="6160" max="6160" width="12" style="64" bestFit="1" customWidth="1"/>
    <col min="6161" max="6161" width="9.140625" style="64"/>
    <col min="6162" max="6162" width="13.7109375" style="64" customWidth="1"/>
    <col min="6163" max="6400" width="9.140625" style="64"/>
    <col min="6401" max="6401" width="9.85546875" style="64" customWidth="1"/>
    <col min="6402" max="6402" width="24.5703125" style="64" customWidth="1"/>
    <col min="6403" max="6403" width="11.28515625" style="64" bestFit="1" customWidth="1"/>
    <col min="6404" max="6404" width="20.42578125" style="64" customWidth="1"/>
    <col min="6405" max="6405" width="0.7109375" style="64" customWidth="1"/>
    <col min="6406" max="6406" width="9.7109375" style="64" customWidth="1"/>
    <col min="6407" max="6407" width="16" style="64" customWidth="1"/>
    <col min="6408" max="6408" width="7.5703125" style="64" customWidth="1"/>
    <col min="6409" max="6409" width="16.5703125" style="64" customWidth="1"/>
    <col min="6410" max="6410" width="0.7109375" style="64" customWidth="1"/>
    <col min="6411" max="6411" width="10.140625" style="64" bestFit="1" customWidth="1"/>
    <col min="6412" max="6412" width="20.140625" style="64" customWidth="1"/>
    <col min="6413" max="6413" width="8.85546875" style="64" customWidth="1"/>
    <col min="6414" max="6414" width="20.42578125" style="64" customWidth="1"/>
    <col min="6415" max="6415" width="11" style="64" bestFit="1" customWidth="1"/>
    <col min="6416" max="6416" width="12" style="64" bestFit="1" customWidth="1"/>
    <col min="6417" max="6417" width="9.140625" style="64"/>
    <col min="6418" max="6418" width="13.7109375" style="64" customWidth="1"/>
    <col min="6419" max="6656" width="9.140625" style="64"/>
    <col min="6657" max="6657" width="9.85546875" style="64" customWidth="1"/>
    <col min="6658" max="6658" width="24.5703125" style="64" customWidth="1"/>
    <col min="6659" max="6659" width="11.28515625" style="64" bestFit="1" customWidth="1"/>
    <col min="6660" max="6660" width="20.42578125" style="64" customWidth="1"/>
    <col min="6661" max="6661" width="0.7109375" style="64" customWidth="1"/>
    <col min="6662" max="6662" width="9.7109375" style="64" customWidth="1"/>
    <col min="6663" max="6663" width="16" style="64" customWidth="1"/>
    <col min="6664" max="6664" width="7.5703125" style="64" customWidth="1"/>
    <col min="6665" max="6665" width="16.5703125" style="64" customWidth="1"/>
    <col min="6666" max="6666" width="0.7109375" style="64" customWidth="1"/>
    <col min="6667" max="6667" width="10.140625" style="64" bestFit="1" customWidth="1"/>
    <col min="6668" max="6668" width="20.140625" style="64" customWidth="1"/>
    <col min="6669" max="6669" width="8.85546875" style="64" customWidth="1"/>
    <col min="6670" max="6670" width="20.42578125" style="64" customWidth="1"/>
    <col min="6671" max="6671" width="11" style="64" bestFit="1" customWidth="1"/>
    <col min="6672" max="6672" width="12" style="64" bestFit="1" customWidth="1"/>
    <col min="6673" max="6673" width="9.140625" style="64"/>
    <col min="6674" max="6674" width="13.7109375" style="64" customWidth="1"/>
    <col min="6675" max="6912" width="9.140625" style="64"/>
    <col min="6913" max="6913" width="9.85546875" style="64" customWidth="1"/>
    <col min="6914" max="6914" width="24.5703125" style="64" customWidth="1"/>
    <col min="6915" max="6915" width="11.28515625" style="64" bestFit="1" customWidth="1"/>
    <col min="6916" max="6916" width="20.42578125" style="64" customWidth="1"/>
    <col min="6917" max="6917" width="0.7109375" style="64" customWidth="1"/>
    <col min="6918" max="6918" width="9.7109375" style="64" customWidth="1"/>
    <col min="6919" max="6919" width="16" style="64" customWidth="1"/>
    <col min="6920" max="6920" width="7.5703125" style="64" customWidth="1"/>
    <col min="6921" max="6921" width="16.5703125" style="64" customWidth="1"/>
    <col min="6922" max="6922" width="0.7109375" style="64" customWidth="1"/>
    <col min="6923" max="6923" width="10.140625" style="64" bestFit="1" customWidth="1"/>
    <col min="6924" max="6924" width="20.140625" style="64" customWidth="1"/>
    <col min="6925" max="6925" width="8.85546875" style="64" customWidth="1"/>
    <col min="6926" max="6926" width="20.42578125" style="64" customWidth="1"/>
    <col min="6927" max="6927" width="11" style="64" bestFit="1" customWidth="1"/>
    <col min="6928" max="6928" width="12" style="64" bestFit="1" customWidth="1"/>
    <col min="6929" max="6929" width="9.140625" style="64"/>
    <col min="6930" max="6930" width="13.7109375" style="64" customWidth="1"/>
    <col min="6931" max="7168" width="9.140625" style="64"/>
    <col min="7169" max="7169" width="9.85546875" style="64" customWidth="1"/>
    <col min="7170" max="7170" width="24.5703125" style="64" customWidth="1"/>
    <col min="7171" max="7171" width="11.28515625" style="64" bestFit="1" customWidth="1"/>
    <col min="7172" max="7172" width="20.42578125" style="64" customWidth="1"/>
    <col min="7173" max="7173" width="0.7109375" style="64" customWidth="1"/>
    <col min="7174" max="7174" width="9.7109375" style="64" customWidth="1"/>
    <col min="7175" max="7175" width="16" style="64" customWidth="1"/>
    <col min="7176" max="7176" width="7.5703125" style="64" customWidth="1"/>
    <col min="7177" max="7177" width="16.5703125" style="64" customWidth="1"/>
    <col min="7178" max="7178" width="0.7109375" style="64" customWidth="1"/>
    <col min="7179" max="7179" width="10.140625" style="64" bestFit="1" customWidth="1"/>
    <col min="7180" max="7180" width="20.140625" style="64" customWidth="1"/>
    <col min="7181" max="7181" width="8.85546875" style="64" customWidth="1"/>
    <col min="7182" max="7182" width="20.42578125" style="64" customWidth="1"/>
    <col min="7183" max="7183" width="11" style="64" bestFit="1" customWidth="1"/>
    <col min="7184" max="7184" width="12" style="64" bestFit="1" customWidth="1"/>
    <col min="7185" max="7185" width="9.140625" style="64"/>
    <col min="7186" max="7186" width="13.7109375" style="64" customWidth="1"/>
    <col min="7187" max="7424" width="9.140625" style="64"/>
    <col min="7425" max="7425" width="9.85546875" style="64" customWidth="1"/>
    <col min="7426" max="7426" width="24.5703125" style="64" customWidth="1"/>
    <col min="7427" max="7427" width="11.28515625" style="64" bestFit="1" customWidth="1"/>
    <col min="7428" max="7428" width="20.42578125" style="64" customWidth="1"/>
    <col min="7429" max="7429" width="0.7109375" style="64" customWidth="1"/>
    <col min="7430" max="7430" width="9.7109375" style="64" customWidth="1"/>
    <col min="7431" max="7431" width="16" style="64" customWidth="1"/>
    <col min="7432" max="7432" width="7.5703125" style="64" customWidth="1"/>
    <col min="7433" max="7433" width="16.5703125" style="64" customWidth="1"/>
    <col min="7434" max="7434" width="0.7109375" style="64" customWidth="1"/>
    <col min="7435" max="7435" width="10.140625" style="64" bestFit="1" customWidth="1"/>
    <col min="7436" max="7436" width="20.140625" style="64" customWidth="1"/>
    <col min="7437" max="7437" width="8.85546875" style="64" customWidth="1"/>
    <col min="7438" max="7438" width="20.42578125" style="64" customWidth="1"/>
    <col min="7439" max="7439" width="11" style="64" bestFit="1" customWidth="1"/>
    <col min="7440" max="7440" width="12" style="64" bestFit="1" customWidth="1"/>
    <col min="7441" max="7441" width="9.140625" style="64"/>
    <col min="7442" max="7442" width="13.7109375" style="64" customWidth="1"/>
    <col min="7443" max="7680" width="9.140625" style="64"/>
    <col min="7681" max="7681" width="9.85546875" style="64" customWidth="1"/>
    <col min="7682" max="7682" width="24.5703125" style="64" customWidth="1"/>
    <col min="7683" max="7683" width="11.28515625" style="64" bestFit="1" customWidth="1"/>
    <col min="7684" max="7684" width="20.42578125" style="64" customWidth="1"/>
    <col min="7685" max="7685" width="0.7109375" style="64" customWidth="1"/>
    <col min="7686" max="7686" width="9.7109375" style="64" customWidth="1"/>
    <col min="7687" max="7687" width="16" style="64" customWidth="1"/>
    <col min="7688" max="7688" width="7.5703125" style="64" customWidth="1"/>
    <col min="7689" max="7689" width="16.5703125" style="64" customWidth="1"/>
    <col min="7690" max="7690" width="0.7109375" style="64" customWidth="1"/>
    <col min="7691" max="7691" width="10.140625" style="64" bestFit="1" customWidth="1"/>
    <col min="7692" max="7692" width="20.140625" style="64" customWidth="1"/>
    <col min="7693" max="7693" width="8.85546875" style="64" customWidth="1"/>
    <col min="7694" max="7694" width="20.42578125" style="64" customWidth="1"/>
    <col min="7695" max="7695" width="11" style="64" bestFit="1" customWidth="1"/>
    <col min="7696" max="7696" width="12" style="64" bestFit="1" customWidth="1"/>
    <col min="7697" max="7697" width="9.140625" style="64"/>
    <col min="7698" max="7698" width="13.7109375" style="64" customWidth="1"/>
    <col min="7699" max="7936" width="9.140625" style="64"/>
    <col min="7937" max="7937" width="9.85546875" style="64" customWidth="1"/>
    <col min="7938" max="7938" width="24.5703125" style="64" customWidth="1"/>
    <col min="7939" max="7939" width="11.28515625" style="64" bestFit="1" customWidth="1"/>
    <col min="7940" max="7940" width="20.42578125" style="64" customWidth="1"/>
    <col min="7941" max="7941" width="0.7109375" style="64" customWidth="1"/>
    <col min="7942" max="7942" width="9.7109375" style="64" customWidth="1"/>
    <col min="7943" max="7943" width="16" style="64" customWidth="1"/>
    <col min="7944" max="7944" width="7.5703125" style="64" customWidth="1"/>
    <col min="7945" max="7945" width="16.5703125" style="64" customWidth="1"/>
    <col min="7946" max="7946" width="0.7109375" style="64" customWidth="1"/>
    <col min="7947" max="7947" width="10.140625" style="64" bestFit="1" customWidth="1"/>
    <col min="7948" max="7948" width="20.140625" style="64" customWidth="1"/>
    <col min="7949" max="7949" width="8.85546875" style="64" customWidth="1"/>
    <col min="7950" max="7950" width="20.42578125" style="64" customWidth="1"/>
    <col min="7951" max="7951" width="11" style="64" bestFit="1" customWidth="1"/>
    <col min="7952" max="7952" width="12" style="64" bestFit="1" customWidth="1"/>
    <col min="7953" max="7953" width="9.140625" style="64"/>
    <col min="7954" max="7954" width="13.7109375" style="64" customWidth="1"/>
    <col min="7955" max="8192" width="9.140625" style="64"/>
    <col min="8193" max="8193" width="9.85546875" style="64" customWidth="1"/>
    <col min="8194" max="8194" width="24.5703125" style="64" customWidth="1"/>
    <col min="8195" max="8195" width="11.28515625" style="64" bestFit="1" customWidth="1"/>
    <col min="8196" max="8196" width="20.42578125" style="64" customWidth="1"/>
    <col min="8197" max="8197" width="0.7109375" style="64" customWidth="1"/>
    <col min="8198" max="8198" width="9.7109375" style="64" customWidth="1"/>
    <col min="8199" max="8199" width="16" style="64" customWidth="1"/>
    <col min="8200" max="8200" width="7.5703125" style="64" customWidth="1"/>
    <col min="8201" max="8201" width="16.5703125" style="64" customWidth="1"/>
    <col min="8202" max="8202" width="0.7109375" style="64" customWidth="1"/>
    <col min="8203" max="8203" width="10.140625" style="64" bestFit="1" customWidth="1"/>
    <col min="8204" max="8204" width="20.140625" style="64" customWidth="1"/>
    <col min="8205" max="8205" width="8.85546875" style="64" customWidth="1"/>
    <col min="8206" max="8206" width="20.42578125" style="64" customWidth="1"/>
    <col min="8207" max="8207" width="11" style="64" bestFit="1" customWidth="1"/>
    <col min="8208" max="8208" width="12" style="64" bestFit="1" customWidth="1"/>
    <col min="8209" max="8209" width="9.140625" style="64"/>
    <col min="8210" max="8210" width="13.7109375" style="64" customWidth="1"/>
    <col min="8211" max="8448" width="9.140625" style="64"/>
    <col min="8449" max="8449" width="9.85546875" style="64" customWidth="1"/>
    <col min="8450" max="8450" width="24.5703125" style="64" customWidth="1"/>
    <col min="8451" max="8451" width="11.28515625" style="64" bestFit="1" customWidth="1"/>
    <col min="8452" max="8452" width="20.42578125" style="64" customWidth="1"/>
    <col min="8453" max="8453" width="0.7109375" style="64" customWidth="1"/>
    <col min="8454" max="8454" width="9.7109375" style="64" customWidth="1"/>
    <col min="8455" max="8455" width="16" style="64" customWidth="1"/>
    <col min="8456" max="8456" width="7.5703125" style="64" customWidth="1"/>
    <col min="8457" max="8457" width="16.5703125" style="64" customWidth="1"/>
    <col min="8458" max="8458" width="0.7109375" style="64" customWidth="1"/>
    <col min="8459" max="8459" width="10.140625" style="64" bestFit="1" customWidth="1"/>
    <col min="8460" max="8460" width="20.140625" style="64" customWidth="1"/>
    <col min="8461" max="8461" width="8.85546875" style="64" customWidth="1"/>
    <col min="8462" max="8462" width="20.42578125" style="64" customWidth="1"/>
    <col min="8463" max="8463" width="11" style="64" bestFit="1" customWidth="1"/>
    <col min="8464" max="8464" width="12" style="64" bestFit="1" customWidth="1"/>
    <col min="8465" max="8465" width="9.140625" style="64"/>
    <col min="8466" max="8466" width="13.7109375" style="64" customWidth="1"/>
    <col min="8467" max="8704" width="9.140625" style="64"/>
    <col min="8705" max="8705" width="9.85546875" style="64" customWidth="1"/>
    <col min="8706" max="8706" width="24.5703125" style="64" customWidth="1"/>
    <col min="8707" max="8707" width="11.28515625" style="64" bestFit="1" customWidth="1"/>
    <col min="8708" max="8708" width="20.42578125" style="64" customWidth="1"/>
    <col min="8709" max="8709" width="0.7109375" style="64" customWidth="1"/>
    <col min="8710" max="8710" width="9.7109375" style="64" customWidth="1"/>
    <col min="8711" max="8711" width="16" style="64" customWidth="1"/>
    <col min="8712" max="8712" width="7.5703125" style="64" customWidth="1"/>
    <col min="8713" max="8713" width="16.5703125" style="64" customWidth="1"/>
    <col min="8714" max="8714" width="0.7109375" style="64" customWidth="1"/>
    <col min="8715" max="8715" width="10.140625" style="64" bestFit="1" customWidth="1"/>
    <col min="8716" max="8716" width="20.140625" style="64" customWidth="1"/>
    <col min="8717" max="8717" width="8.85546875" style="64" customWidth="1"/>
    <col min="8718" max="8718" width="20.42578125" style="64" customWidth="1"/>
    <col min="8719" max="8719" width="11" style="64" bestFit="1" customWidth="1"/>
    <col min="8720" max="8720" width="12" style="64" bestFit="1" customWidth="1"/>
    <col min="8721" max="8721" width="9.140625" style="64"/>
    <col min="8722" max="8722" width="13.7109375" style="64" customWidth="1"/>
    <col min="8723" max="8960" width="9.140625" style="64"/>
    <col min="8961" max="8961" width="9.85546875" style="64" customWidth="1"/>
    <col min="8962" max="8962" width="24.5703125" style="64" customWidth="1"/>
    <col min="8963" max="8963" width="11.28515625" style="64" bestFit="1" customWidth="1"/>
    <col min="8964" max="8964" width="20.42578125" style="64" customWidth="1"/>
    <col min="8965" max="8965" width="0.7109375" style="64" customWidth="1"/>
    <col min="8966" max="8966" width="9.7109375" style="64" customWidth="1"/>
    <col min="8967" max="8967" width="16" style="64" customWidth="1"/>
    <col min="8968" max="8968" width="7.5703125" style="64" customWidth="1"/>
    <col min="8969" max="8969" width="16.5703125" style="64" customWidth="1"/>
    <col min="8970" max="8970" width="0.7109375" style="64" customWidth="1"/>
    <col min="8971" max="8971" width="10.140625" style="64" bestFit="1" customWidth="1"/>
    <col min="8972" max="8972" width="20.140625" style="64" customWidth="1"/>
    <col min="8973" max="8973" width="8.85546875" style="64" customWidth="1"/>
    <col min="8974" max="8974" width="20.42578125" style="64" customWidth="1"/>
    <col min="8975" max="8975" width="11" style="64" bestFit="1" customWidth="1"/>
    <col min="8976" max="8976" width="12" style="64" bestFit="1" customWidth="1"/>
    <col min="8977" max="8977" width="9.140625" style="64"/>
    <col min="8978" max="8978" width="13.7109375" style="64" customWidth="1"/>
    <col min="8979" max="9216" width="9.140625" style="64"/>
    <col min="9217" max="9217" width="9.85546875" style="64" customWidth="1"/>
    <col min="9218" max="9218" width="24.5703125" style="64" customWidth="1"/>
    <col min="9219" max="9219" width="11.28515625" style="64" bestFit="1" customWidth="1"/>
    <col min="9220" max="9220" width="20.42578125" style="64" customWidth="1"/>
    <col min="9221" max="9221" width="0.7109375" style="64" customWidth="1"/>
    <col min="9222" max="9222" width="9.7109375" style="64" customWidth="1"/>
    <col min="9223" max="9223" width="16" style="64" customWidth="1"/>
    <col min="9224" max="9224" width="7.5703125" style="64" customWidth="1"/>
    <col min="9225" max="9225" width="16.5703125" style="64" customWidth="1"/>
    <col min="9226" max="9226" width="0.7109375" style="64" customWidth="1"/>
    <col min="9227" max="9227" width="10.140625" style="64" bestFit="1" customWidth="1"/>
    <col min="9228" max="9228" width="20.140625" style="64" customWidth="1"/>
    <col min="9229" max="9229" width="8.85546875" style="64" customWidth="1"/>
    <col min="9230" max="9230" width="20.42578125" style="64" customWidth="1"/>
    <col min="9231" max="9231" width="11" style="64" bestFit="1" customWidth="1"/>
    <col min="9232" max="9232" width="12" style="64" bestFit="1" customWidth="1"/>
    <col min="9233" max="9233" width="9.140625" style="64"/>
    <col min="9234" max="9234" width="13.7109375" style="64" customWidth="1"/>
    <col min="9235" max="9472" width="9.140625" style="64"/>
    <col min="9473" max="9473" width="9.85546875" style="64" customWidth="1"/>
    <col min="9474" max="9474" width="24.5703125" style="64" customWidth="1"/>
    <col min="9475" max="9475" width="11.28515625" style="64" bestFit="1" customWidth="1"/>
    <col min="9476" max="9476" width="20.42578125" style="64" customWidth="1"/>
    <col min="9477" max="9477" width="0.7109375" style="64" customWidth="1"/>
    <col min="9478" max="9478" width="9.7109375" style="64" customWidth="1"/>
    <col min="9479" max="9479" width="16" style="64" customWidth="1"/>
    <col min="9480" max="9480" width="7.5703125" style="64" customWidth="1"/>
    <col min="9481" max="9481" width="16.5703125" style="64" customWidth="1"/>
    <col min="9482" max="9482" width="0.7109375" style="64" customWidth="1"/>
    <col min="9483" max="9483" width="10.140625" style="64" bestFit="1" customWidth="1"/>
    <col min="9484" max="9484" width="20.140625" style="64" customWidth="1"/>
    <col min="9485" max="9485" width="8.85546875" style="64" customWidth="1"/>
    <col min="9486" max="9486" width="20.42578125" style="64" customWidth="1"/>
    <col min="9487" max="9487" width="11" style="64" bestFit="1" customWidth="1"/>
    <col min="9488" max="9488" width="12" style="64" bestFit="1" customWidth="1"/>
    <col min="9489" max="9489" width="9.140625" style="64"/>
    <col min="9490" max="9490" width="13.7109375" style="64" customWidth="1"/>
    <col min="9491" max="9728" width="9.140625" style="64"/>
    <col min="9729" max="9729" width="9.85546875" style="64" customWidth="1"/>
    <col min="9730" max="9730" width="24.5703125" style="64" customWidth="1"/>
    <col min="9731" max="9731" width="11.28515625" style="64" bestFit="1" customWidth="1"/>
    <col min="9732" max="9732" width="20.42578125" style="64" customWidth="1"/>
    <col min="9733" max="9733" width="0.7109375" style="64" customWidth="1"/>
    <col min="9734" max="9734" width="9.7109375" style="64" customWidth="1"/>
    <col min="9735" max="9735" width="16" style="64" customWidth="1"/>
    <col min="9736" max="9736" width="7.5703125" style="64" customWidth="1"/>
    <col min="9737" max="9737" width="16.5703125" style="64" customWidth="1"/>
    <col min="9738" max="9738" width="0.7109375" style="64" customWidth="1"/>
    <col min="9739" max="9739" width="10.140625" style="64" bestFit="1" customWidth="1"/>
    <col min="9740" max="9740" width="20.140625" style="64" customWidth="1"/>
    <col min="9741" max="9741" width="8.85546875" style="64" customWidth="1"/>
    <col min="9742" max="9742" width="20.42578125" style="64" customWidth="1"/>
    <col min="9743" max="9743" width="11" style="64" bestFit="1" customWidth="1"/>
    <col min="9744" max="9744" width="12" style="64" bestFit="1" customWidth="1"/>
    <col min="9745" max="9745" width="9.140625" style="64"/>
    <col min="9746" max="9746" width="13.7109375" style="64" customWidth="1"/>
    <col min="9747" max="9984" width="9.140625" style="64"/>
    <col min="9985" max="9985" width="9.85546875" style="64" customWidth="1"/>
    <col min="9986" max="9986" width="24.5703125" style="64" customWidth="1"/>
    <col min="9987" max="9987" width="11.28515625" style="64" bestFit="1" customWidth="1"/>
    <col min="9988" max="9988" width="20.42578125" style="64" customWidth="1"/>
    <col min="9989" max="9989" width="0.7109375" style="64" customWidth="1"/>
    <col min="9990" max="9990" width="9.7109375" style="64" customWidth="1"/>
    <col min="9991" max="9991" width="16" style="64" customWidth="1"/>
    <col min="9992" max="9992" width="7.5703125" style="64" customWidth="1"/>
    <col min="9993" max="9993" width="16.5703125" style="64" customWidth="1"/>
    <col min="9994" max="9994" width="0.7109375" style="64" customWidth="1"/>
    <col min="9995" max="9995" width="10.140625" style="64" bestFit="1" customWidth="1"/>
    <col min="9996" max="9996" width="20.140625" style="64" customWidth="1"/>
    <col min="9997" max="9997" width="8.85546875" style="64" customWidth="1"/>
    <col min="9998" max="9998" width="20.42578125" style="64" customWidth="1"/>
    <col min="9999" max="9999" width="11" style="64" bestFit="1" customWidth="1"/>
    <col min="10000" max="10000" width="12" style="64" bestFit="1" customWidth="1"/>
    <col min="10001" max="10001" width="9.140625" style="64"/>
    <col min="10002" max="10002" width="13.7109375" style="64" customWidth="1"/>
    <col min="10003" max="10240" width="9.140625" style="64"/>
    <col min="10241" max="10241" width="9.85546875" style="64" customWidth="1"/>
    <col min="10242" max="10242" width="24.5703125" style="64" customWidth="1"/>
    <col min="10243" max="10243" width="11.28515625" style="64" bestFit="1" customWidth="1"/>
    <col min="10244" max="10244" width="20.42578125" style="64" customWidth="1"/>
    <col min="10245" max="10245" width="0.7109375" style="64" customWidth="1"/>
    <col min="10246" max="10246" width="9.7109375" style="64" customWidth="1"/>
    <col min="10247" max="10247" width="16" style="64" customWidth="1"/>
    <col min="10248" max="10248" width="7.5703125" style="64" customWidth="1"/>
    <col min="10249" max="10249" width="16.5703125" style="64" customWidth="1"/>
    <col min="10250" max="10250" width="0.7109375" style="64" customWidth="1"/>
    <col min="10251" max="10251" width="10.140625" style="64" bestFit="1" customWidth="1"/>
    <col min="10252" max="10252" width="20.140625" style="64" customWidth="1"/>
    <col min="10253" max="10253" width="8.85546875" style="64" customWidth="1"/>
    <col min="10254" max="10254" width="20.42578125" style="64" customWidth="1"/>
    <col min="10255" max="10255" width="11" style="64" bestFit="1" customWidth="1"/>
    <col min="10256" max="10256" width="12" style="64" bestFit="1" customWidth="1"/>
    <col min="10257" max="10257" width="9.140625" style="64"/>
    <col min="10258" max="10258" width="13.7109375" style="64" customWidth="1"/>
    <col min="10259" max="10496" width="9.140625" style="64"/>
    <col min="10497" max="10497" width="9.85546875" style="64" customWidth="1"/>
    <col min="10498" max="10498" width="24.5703125" style="64" customWidth="1"/>
    <col min="10499" max="10499" width="11.28515625" style="64" bestFit="1" customWidth="1"/>
    <col min="10500" max="10500" width="20.42578125" style="64" customWidth="1"/>
    <col min="10501" max="10501" width="0.7109375" style="64" customWidth="1"/>
    <col min="10502" max="10502" width="9.7109375" style="64" customWidth="1"/>
    <col min="10503" max="10503" width="16" style="64" customWidth="1"/>
    <col min="10504" max="10504" width="7.5703125" style="64" customWidth="1"/>
    <col min="10505" max="10505" width="16.5703125" style="64" customWidth="1"/>
    <col min="10506" max="10506" width="0.7109375" style="64" customWidth="1"/>
    <col min="10507" max="10507" width="10.140625" style="64" bestFit="1" customWidth="1"/>
    <col min="10508" max="10508" width="20.140625" style="64" customWidth="1"/>
    <col min="10509" max="10509" width="8.85546875" style="64" customWidth="1"/>
    <col min="10510" max="10510" width="20.42578125" style="64" customWidth="1"/>
    <col min="10511" max="10511" width="11" style="64" bestFit="1" customWidth="1"/>
    <col min="10512" max="10512" width="12" style="64" bestFit="1" customWidth="1"/>
    <col min="10513" max="10513" width="9.140625" style="64"/>
    <col min="10514" max="10514" width="13.7109375" style="64" customWidth="1"/>
    <col min="10515" max="10752" width="9.140625" style="64"/>
    <col min="10753" max="10753" width="9.85546875" style="64" customWidth="1"/>
    <col min="10754" max="10754" width="24.5703125" style="64" customWidth="1"/>
    <col min="10755" max="10755" width="11.28515625" style="64" bestFit="1" customWidth="1"/>
    <col min="10756" max="10756" width="20.42578125" style="64" customWidth="1"/>
    <col min="10757" max="10757" width="0.7109375" style="64" customWidth="1"/>
    <col min="10758" max="10758" width="9.7109375" style="64" customWidth="1"/>
    <col min="10759" max="10759" width="16" style="64" customWidth="1"/>
    <col min="10760" max="10760" width="7.5703125" style="64" customWidth="1"/>
    <col min="10761" max="10761" width="16.5703125" style="64" customWidth="1"/>
    <col min="10762" max="10762" width="0.7109375" style="64" customWidth="1"/>
    <col min="10763" max="10763" width="10.140625" style="64" bestFit="1" customWidth="1"/>
    <col min="10764" max="10764" width="20.140625" style="64" customWidth="1"/>
    <col min="10765" max="10765" width="8.85546875" style="64" customWidth="1"/>
    <col min="10766" max="10766" width="20.42578125" style="64" customWidth="1"/>
    <col min="10767" max="10767" width="11" style="64" bestFit="1" customWidth="1"/>
    <col min="10768" max="10768" width="12" style="64" bestFit="1" customWidth="1"/>
    <col min="10769" max="10769" width="9.140625" style="64"/>
    <col min="10770" max="10770" width="13.7109375" style="64" customWidth="1"/>
    <col min="10771" max="11008" width="9.140625" style="64"/>
    <col min="11009" max="11009" width="9.85546875" style="64" customWidth="1"/>
    <col min="11010" max="11010" width="24.5703125" style="64" customWidth="1"/>
    <col min="11011" max="11011" width="11.28515625" style="64" bestFit="1" customWidth="1"/>
    <col min="11012" max="11012" width="20.42578125" style="64" customWidth="1"/>
    <col min="11013" max="11013" width="0.7109375" style="64" customWidth="1"/>
    <col min="11014" max="11014" width="9.7109375" style="64" customWidth="1"/>
    <col min="11015" max="11015" width="16" style="64" customWidth="1"/>
    <col min="11016" max="11016" width="7.5703125" style="64" customWidth="1"/>
    <col min="11017" max="11017" width="16.5703125" style="64" customWidth="1"/>
    <col min="11018" max="11018" width="0.7109375" style="64" customWidth="1"/>
    <col min="11019" max="11019" width="10.140625" style="64" bestFit="1" customWidth="1"/>
    <col min="11020" max="11020" width="20.140625" style="64" customWidth="1"/>
    <col min="11021" max="11021" width="8.85546875" style="64" customWidth="1"/>
    <col min="11022" max="11022" width="20.42578125" style="64" customWidth="1"/>
    <col min="11023" max="11023" width="11" style="64" bestFit="1" customWidth="1"/>
    <col min="11024" max="11024" width="12" style="64" bestFit="1" customWidth="1"/>
    <col min="11025" max="11025" width="9.140625" style="64"/>
    <col min="11026" max="11026" width="13.7109375" style="64" customWidth="1"/>
    <col min="11027" max="11264" width="9.140625" style="64"/>
    <col min="11265" max="11265" width="9.85546875" style="64" customWidth="1"/>
    <col min="11266" max="11266" width="24.5703125" style="64" customWidth="1"/>
    <col min="11267" max="11267" width="11.28515625" style="64" bestFit="1" customWidth="1"/>
    <col min="11268" max="11268" width="20.42578125" style="64" customWidth="1"/>
    <col min="11269" max="11269" width="0.7109375" style="64" customWidth="1"/>
    <col min="11270" max="11270" width="9.7109375" style="64" customWidth="1"/>
    <col min="11271" max="11271" width="16" style="64" customWidth="1"/>
    <col min="11272" max="11272" width="7.5703125" style="64" customWidth="1"/>
    <col min="11273" max="11273" width="16.5703125" style="64" customWidth="1"/>
    <col min="11274" max="11274" width="0.7109375" style="64" customWidth="1"/>
    <col min="11275" max="11275" width="10.140625" style="64" bestFit="1" customWidth="1"/>
    <col min="11276" max="11276" width="20.140625" style="64" customWidth="1"/>
    <col min="11277" max="11277" width="8.85546875" style="64" customWidth="1"/>
    <col min="11278" max="11278" width="20.42578125" style="64" customWidth="1"/>
    <col min="11279" max="11279" width="11" style="64" bestFit="1" customWidth="1"/>
    <col min="11280" max="11280" width="12" style="64" bestFit="1" customWidth="1"/>
    <col min="11281" max="11281" width="9.140625" style="64"/>
    <col min="11282" max="11282" width="13.7109375" style="64" customWidth="1"/>
    <col min="11283" max="11520" width="9.140625" style="64"/>
    <col min="11521" max="11521" width="9.85546875" style="64" customWidth="1"/>
    <col min="11522" max="11522" width="24.5703125" style="64" customWidth="1"/>
    <col min="11523" max="11523" width="11.28515625" style="64" bestFit="1" customWidth="1"/>
    <col min="11524" max="11524" width="20.42578125" style="64" customWidth="1"/>
    <col min="11525" max="11525" width="0.7109375" style="64" customWidth="1"/>
    <col min="11526" max="11526" width="9.7109375" style="64" customWidth="1"/>
    <col min="11527" max="11527" width="16" style="64" customWidth="1"/>
    <col min="11528" max="11528" width="7.5703125" style="64" customWidth="1"/>
    <col min="11529" max="11529" width="16.5703125" style="64" customWidth="1"/>
    <col min="11530" max="11530" width="0.7109375" style="64" customWidth="1"/>
    <col min="11531" max="11531" width="10.140625" style="64" bestFit="1" customWidth="1"/>
    <col min="11532" max="11532" width="20.140625" style="64" customWidth="1"/>
    <col min="11533" max="11533" width="8.85546875" style="64" customWidth="1"/>
    <col min="11534" max="11534" width="20.42578125" style="64" customWidth="1"/>
    <col min="11535" max="11535" width="11" style="64" bestFit="1" customWidth="1"/>
    <col min="11536" max="11536" width="12" style="64" bestFit="1" customWidth="1"/>
    <col min="11537" max="11537" width="9.140625" style="64"/>
    <col min="11538" max="11538" width="13.7109375" style="64" customWidth="1"/>
    <col min="11539" max="11776" width="9.140625" style="64"/>
    <col min="11777" max="11777" width="9.85546875" style="64" customWidth="1"/>
    <col min="11778" max="11778" width="24.5703125" style="64" customWidth="1"/>
    <col min="11779" max="11779" width="11.28515625" style="64" bestFit="1" customWidth="1"/>
    <col min="11780" max="11780" width="20.42578125" style="64" customWidth="1"/>
    <col min="11781" max="11781" width="0.7109375" style="64" customWidth="1"/>
    <col min="11782" max="11782" width="9.7109375" style="64" customWidth="1"/>
    <col min="11783" max="11783" width="16" style="64" customWidth="1"/>
    <col min="11784" max="11784" width="7.5703125" style="64" customWidth="1"/>
    <col min="11785" max="11785" width="16.5703125" style="64" customWidth="1"/>
    <col min="11786" max="11786" width="0.7109375" style="64" customWidth="1"/>
    <col min="11787" max="11787" width="10.140625" style="64" bestFit="1" customWidth="1"/>
    <col min="11788" max="11788" width="20.140625" style="64" customWidth="1"/>
    <col min="11789" max="11789" width="8.85546875" style="64" customWidth="1"/>
    <col min="11790" max="11790" width="20.42578125" style="64" customWidth="1"/>
    <col min="11791" max="11791" width="11" style="64" bestFit="1" customWidth="1"/>
    <col min="11792" max="11792" width="12" style="64" bestFit="1" customWidth="1"/>
    <col min="11793" max="11793" width="9.140625" style="64"/>
    <col min="11794" max="11794" width="13.7109375" style="64" customWidth="1"/>
    <col min="11795" max="12032" width="9.140625" style="64"/>
    <col min="12033" max="12033" width="9.85546875" style="64" customWidth="1"/>
    <col min="12034" max="12034" width="24.5703125" style="64" customWidth="1"/>
    <col min="12035" max="12035" width="11.28515625" style="64" bestFit="1" customWidth="1"/>
    <col min="12036" max="12036" width="20.42578125" style="64" customWidth="1"/>
    <col min="12037" max="12037" width="0.7109375" style="64" customWidth="1"/>
    <col min="12038" max="12038" width="9.7109375" style="64" customWidth="1"/>
    <col min="12039" max="12039" width="16" style="64" customWidth="1"/>
    <col min="12040" max="12040" width="7.5703125" style="64" customWidth="1"/>
    <col min="12041" max="12041" width="16.5703125" style="64" customWidth="1"/>
    <col min="12042" max="12042" width="0.7109375" style="64" customWidth="1"/>
    <col min="12043" max="12043" width="10.140625" style="64" bestFit="1" customWidth="1"/>
    <col min="12044" max="12044" width="20.140625" style="64" customWidth="1"/>
    <col min="12045" max="12045" width="8.85546875" style="64" customWidth="1"/>
    <col min="12046" max="12046" width="20.42578125" style="64" customWidth="1"/>
    <col min="12047" max="12047" width="11" style="64" bestFit="1" customWidth="1"/>
    <col min="12048" max="12048" width="12" style="64" bestFit="1" customWidth="1"/>
    <col min="12049" max="12049" width="9.140625" style="64"/>
    <col min="12050" max="12050" width="13.7109375" style="64" customWidth="1"/>
    <col min="12051" max="12288" width="9.140625" style="64"/>
    <col min="12289" max="12289" width="9.85546875" style="64" customWidth="1"/>
    <col min="12290" max="12290" width="24.5703125" style="64" customWidth="1"/>
    <col min="12291" max="12291" width="11.28515625" style="64" bestFit="1" customWidth="1"/>
    <col min="12292" max="12292" width="20.42578125" style="64" customWidth="1"/>
    <col min="12293" max="12293" width="0.7109375" style="64" customWidth="1"/>
    <col min="12294" max="12294" width="9.7109375" style="64" customWidth="1"/>
    <col min="12295" max="12295" width="16" style="64" customWidth="1"/>
    <col min="12296" max="12296" width="7.5703125" style="64" customWidth="1"/>
    <col min="12297" max="12297" width="16.5703125" style="64" customWidth="1"/>
    <col min="12298" max="12298" width="0.7109375" style="64" customWidth="1"/>
    <col min="12299" max="12299" width="10.140625" style="64" bestFit="1" customWidth="1"/>
    <col min="12300" max="12300" width="20.140625" style="64" customWidth="1"/>
    <col min="12301" max="12301" width="8.85546875" style="64" customWidth="1"/>
    <col min="12302" max="12302" width="20.42578125" style="64" customWidth="1"/>
    <col min="12303" max="12303" width="11" style="64" bestFit="1" customWidth="1"/>
    <col min="12304" max="12304" width="12" style="64" bestFit="1" customWidth="1"/>
    <col min="12305" max="12305" width="9.140625" style="64"/>
    <col min="12306" max="12306" width="13.7109375" style="64" customWidth="1"/>
    <col min="12307" max="12544" width="9.140625" style="64"/>
    <col min="12545" max="12545" width="9.85546875" style="64" customWidth="1"/>
    <col min="12546" max="12546" width="24.5703125" style="64" customWidth="1"/>
    <col min="12547" max="12547" width="11.28515625" style="64" bestFit="1" customWidth="1"/>
    <col min="12548" max="12548" width="20.42578125" style="64" customWidth="1"/>
    <col min="12549" max="12549" width="0.7109375" style="64" customWidth="1"/>
    <col min="12550" max="12550" width="9.7109375" style="64" customWidth="1"/>
    <col min="12551" max="12551" width="16" style="64" customWidth="1"/>
    <col min="12552" max="12552" width="7.5703125" style="64" customWidth="1"/>
    <col min="12553" max="12553" width="16.5703125" style="64" customWidth="1"/>
    <col min="12554" max="12554" width="0.7109375" style="64" customWidth="1"/>
    <col min="12555" max="12555" width="10.140625" style="64" bestFit="1" customWidth="1"/>
    <col min="12556" max="12556" width="20.140625" style="64" customWidth="1"/>
    <col min="12557" max="12557" width="8.85546875" style="64" customWidth="1"/>
    <col min="12558" max="12558" width="20.42578125" style="64" customWidth="1"/>
    <col min="12559" max="12559" width="11" style="64" bestFit="1" customWidth="1"/>
    <col min="12560" max="12560" width="12" style="64" bestFit="1" customWidth="1"/>
    <col min="12561" max="12561" width="9.140625" style="64"/>
    <col min="12562" max="12562" width="13.7109375" style="64" customWidth="1"/>
    <col min="12563" max="12800" width="9.140625" style="64"/>
    <col min="12801" max="12801" width="9.85546875" style="64" customWidth="1"/>
    <col min="12802" max="12802" width="24.5703125" style="64" customWidth="1"/>
    <col min="12803" max="12803" width="11.28515625" style="64" bestFit="1" customWidth="1"/>
    <col min="12804" max="12804" width="20.42578125" style="64" customWidth="1"/>
    <col min="12805" max="12805" width="0.7109375" style="64" customWidth="1"/>
    <col min="12806" max="12806" width="9.7109375" style="64" customWidth="1"/>
    <col min="12807" max="12807" width="16" style="64" customWidth="1"/>
    <col min="12808" max="12808" width="7.5703125" style="64" customWidth="1"/>
    <col min="12809" max="12809" width="16.5703125" style="64" customWidth="1"/>
    <col min="12810" max="12810" width="0.7109375" style="64" customWidth="1"/>
    <col min="12811" max="12811" width="10.140625" style="64" bestFit="1" customWidth="1"/>
    <col min="12812" max="12812" width="20.140625" style="64" customWidth="1"/>
    <col min="12813" max="12813" width="8.85546875" style="64" customWidth="1"/>
    <col min="12814" max="12814" width="20.42578125" style="64" customWidth="1"/>
    <col min="12815" max="12815" width="11" style="64" bestFit="1" customWidth="1"/>
    <col min="12816" max="12816" width="12" style="64" bestFit="1" customWidth="1"/>
    <col min="12817" max="12817" width="9.140625" style="64"/>
    <col min="12818" max="12818" width="13.7109375" style="64" customWidth="1"/>
    <col min="12819" max="13056" width="9.140625" style="64"/>
    <col min="13057" max="13057" width="9.85546875" style="64" customWidth="1"/>
    <col min="13058" max="13058" width="24.5703125" style="64" customWidth="1"/>
    <col min="13059" max="13059" width="11.28515625" style="64" bestFit="1" customWidth="1"/>
    <col min="13060" max="13060" width="20.42578125" style="64" customWidth="1"/>
    <col min="13061" max="13061" width="0.7109375" style="64" customWidth="1"/>
    <col min="13062" max="13062" width="9.7109375" style="64" customWidth="1"/>
    <col min="13063" max="13063" width="16" style="64" customWidth="1"/>
    <col min="13064" max="13064" width="7.5703125" style="64" customWidth="1"/>
    <col min="13065" max="13065" width="16.5703125" style="64" customWidth="1"/>
    <col min="13066" max="13066" width="0.7109375" style="64" customWidth="1"/>
    <col min="13067" max="13067" width="10.140625" style="64" bestFit="1" customWidth="1"/>
    <col min="13068" max="13068" width="20.140625" style="64" customWidth="1"/>
    <col min="13069" max="13069" width="8.85546875" style="64" customWidth="1"/>
    <col min="13070" max="13070" width="20.42578125" style="64" customWidth="1"/>
    <col min="13071" max="13071" width="11" style="64" bestFit="1" customWidth="1"/>
    <col min="13072" max="13072" width="12" style="64" bestFit="1" customWidth="1"/>
    <col min="13073" max="13073" width="9.140625" style="64"/>
    <col min="13074" max="13074" width="13.7109375" style="64" customWidth="1"/>
    <col min="13075" max="13312" width="9.140625" style="64"/>
    <col min="13313" max="13313" width="9.85546875" style="64" customWidth="1"/>
    <col min="13314" max="13314" width="24.5703125" style="64" customWidth="1"/>
    <col min="13315" max="13315" width="11.28515625" style="64" bestFit="1" customWidth="1"/>
    <col min="13316" max="13316" width="20.42578125" style="64" customWidth="1"/>
    <col min="13317" max="13317" width="0.7109375" style="64" customWidth="1"/>
    <col min="13318" max="13318" width="9.7109375" style="64" customWidth="1"/>
    <col min="13319" max="13319" width="16" style="64" customWidth="1"/>
    <col min="13320" max="13320" width="7.5703125" style="64" customWidth="1"/>
    <col min="13321" max="13321" width="16.5703125" style="64" customWidth="1"/>
    <col min="13322" max="13322" width="0.7109375" style="64" customWidth="1"/>
    <col min="13323" max="13323" width="10.140625" style="64" bestFit="1" customWidth="1"/>
    <col min="13324" max="13324" width="20.140625" style="64" customWidth="1"/>
    <col min="13325" max="13325" width="8.85546875" style="64" customWidth="1"/>
    <col min="13326" max="13326" width="20.42578125" style="64" customWidth="1"/>
    <col min="13327" max="13327" width="11" style="64" bestFit="1" customWidth="1"/>
    <col min="13328" max="13328" width="12" style="64" bestFit="1" customWidth="1"/>
    <col min="13329" max="13329" width="9.140625" style="64"/>
    <col min="13330" max="13330" width="13.7109375" style="64" customWidth="1"/>
    <col min="13331" max="13568" width="9.140625" style="64"/>
    <col min="13569" max="13569" width="9.85546875" style="64" customWidth="1"/>
    <col min="13570" max="13570" width="24.5703125" style="64" customWidth="1"/>
    <col min="13571" max="13571" width="11.28515625" style="64" bestFit="1" customWidth="1"/>
    <col min="13572" max="13572" width="20.42578125" style="64" customWidth="1"/>
    <col min="13573" max="13573" width="0.7109375" style="64" customWidth="1"/>
    <col min="13574" max="13574" width="9.7109375" style="64" customWidth="1"/>
    <col min="13575" max="13575" width="16" style="64" customWidth="1"/>
    <col min="13576" max="13576" width="7.5703125" style="64" customWidth="1"/>
    <col min="13577" max="13577" width="16.5703125" style="64" customWidth="1"/>
    <col min="13578" max="13578" width="0.7109375" style="64" customWidth="1"/>
    <col min="13579" max="13579" width="10.140625" style="64" bestFit="1" customWidth="1"/>
    <col min="13580" max="13580" width="20.140625" style="64" customWidth="1"/>
    <col min="13581" max="13581" width="8.85546875" style="64" customWidth="1"/>
    <col min="13582" max="13582" width="20.42578125" style="64" customWidth="1"/>
    <col min="13583" max="13583" width="11" style="64" bestFit="1" customWidth="1"/>
    <col min="13584" max="13584" width="12" style="64" bestFit="1" customWidth="1"/>
    <col min="13585" max="13585" width="9.140625" style="64"/>
    <col min="13586" max="13586" width="13.7109375" style="64" customWidth="1"/>
    <col min="13587" max="13824" width="9.140625" style="64"/>
    <col min="13825" max="13825" width="9.85546875" style="64" customWidth="1"/>
    <col min="13826" max="13826" width="24.5703125" style="64" customWidth="1"/>
    <col min="13827" max="13827" width="11.28515625" style="64" bestFit="1" customWidth="1"/>
    <col min="13828" max="13828" width="20.42578125" style="64" customWidth="1"/>
    <col min="13829" max="13829" width="0.7109375" style="64" customWidth="1"/>
    <col min="13830" max="13830" width="9.7109375" style="64" customWidth="1"/>
    <col min="13831" max="13831" width="16" style="64" customWidth="1"/>
    <col min="13832" max="13832" width="7.5703125" style="64" customWidth="1"/>
    <col min="13833" max="13833" width="16.5703125" style="64" customWidth="1"/>
    <col min="13834" max="13834" width="0.7109375" style="64" customWidth="1"/>
    <col min="13835" max="13835" width="10.140625" style="64" bestFit="1" customWidth="1"/>
    <col min="13836" max="13836" width="20.140625" style="64" customWidth="1"/>
    <col min="13837" max="13837" width="8.85546875" style="64" customWidth="1"/>
    <col min="13838" max="13838" width="20.42578125" style="64" customWidth="1"/>
    <col min="13839" max="13839" width="11" style="64" bestFit="1" customWidth="1"/>
    <col min="13840" max="13840" width="12" style="64" bestFit="1" customWidth="1"/>
    <col min="13841" max="13841" width="9.140625" style="64"/>
    <col min="13842" max="13842" width="13.7109375" style="64" customWidth="1"/>
    <col min="13843" max="14080" width="9.140625" style="64"/>
    <col min="14081" max="14081" width="9.85546875" style="64" customWidth="1"/>
    <col min="14082" max="14082" width="24.5703125" style="64" customWidth="1"/>
    <col min="14083" max="14083" width="11.28515625" style="64" bestFit="1" customWidth="1"/>
    <col min="14084" max="14084" width="20.42578125" style="64" customWidth="1"/>
    <col min="14085" max="14085" width="0.7109375" style="64" customWidth="1"/>
    <col min="14086" max="14086" width="9.7109375" style="64" customWidth="1"/>
    <col min="14087" max="14087" width="16" style="64" customWidth="1"/>
    <col min="14088" max="14088" width="7.5703125" style="64" customWidth="1"/>
    <col min="14089" max="14089" width="16.5703125" style="64" customWidth="1"/>
    <col min="14090" max="14090" width="0.7109375" style="64" customWidth="1"/>
    <col min="14091" max="14091" width="10.140625" style="64" bestFit="1" customWidth="1"/>
    <col min="14092" max="14092" width="20.140625" style="64" customWidth="1"/>
    <col min="14093" max="14093" width="8.85546875" style="64" customWidth="1"/>
    <col min="14094" max="14094" width="20.42578125" style="64" customWidth="1"/>
    <col min="14095" max="14095" width="11" style="64" bestFit="1" customWidth="1"/>
    <col min="14096" max="14096" width="12" style="64" bestFit="1" customWidth="1"/>
    <col min="14097" max="14097" width="9.140625" style="64"/>
    <col min="14098" max="14098" width="13.7109375" style="64" customWidth="1"/>
    <col min="14099" max="14336" width="9.140625" style="64"/>
    <col min="14337" max="14337" width="9.85546875" style="64" customWidth="1"/>
    <col min="14338" max="14338" width="24.5703125" style="64" customWidth="1"/>
    <col min="14339" max="14339" width="11.28515625" style="64" bestFit="1" customWidth="1"/>
    <col min="14340" max="14340" width="20.42578125" style="64" customWidth="1"/>
    <col min="14341" max="14341" width="0.7109375" style="64" customWidth="1"/>
    <col min="14342" max="14342" width="9.7109375" style="64" customWidth="1"/>
    <col min="14343" max="14343" width="16" style="64" customWidth="1"/>
    <col min="14344" max="14344" width="7.5703125" style="64" customWidth="1"/>
    <col min="14345" max="14345" width="16.5703125" style="64" customWidth="1"/>
    <col min="14346" max="14346" width="0.7109375" style="64" customWidth="1"/>
    <col min="14347" max="14347" width="10.140625" style="64" bestFit="1" customWidth="1"/>
    <col min="14348" max="14348" width="20.140625" style="64" customWidth="1"/>
    <col min="14349" max="14349" width="8.85546875" style="64" customWidth="1"/>
    <col min="14350" max="14350" width="20.42578125" style="64" customWidth="1"/>
    <col min="14351" max="14351" width="11" style="64" bestFit="1" customWidth="1"/>
    <col min="14352" max="14352" width="12" style="64" bestFit="1" customWidth="1"/>
    <col min="14353" max="14353" width="9.140625" style="64"/>
    <col min="14354" max="14354" width="13.7109375" style="64" customWidth="1"/>
    <col min="14355" max="14592" width="9.140625" style="64"/>
    <col min="14593" max="14593" width="9.85546875" style="64" customWidth="1"/>
    <col min="14594" max="14594" width="24.5703125" style="64" customWidth="1"/>
    <col min="14595" max="14595" width="11.28515625" style="64" bestFit="1" customWidth="1"/>
    <col min="14596" max="14596" width="20.42578125" style="64" customWidth="1"/>
    <col min="14597" max="14597" width="0.7109375" style="64" customWidth="1"/>
    <col min="14598" max="14598" width="9.7109375" style="64" customWidth="1"/>
    <col min="14599" max="14599" width="16" style="64" customWidth="1"/>
    <col min="14600" max="14600" width="7.5703125" style="64" customWidth="1"/>
    <col min="14601" max="14601" width="16.5703125" style="64" customWidth="1"/>
    <col min="14602" max="14602" width="0.7109375" style="64" customWidth="1"/>
    <col min="14603" max="14603" width="10.140625" style="64" bestFit="1" customWidth="1"/>
    <col min="14604" max="14604" width="20.140625" style="64" customWidth="1"/>
    <col min="14605" max="14605" width="8.85546875" style="64" customWidth="1"/>
    <col min="14606" max="14606" width="20.42578125" style="64" customWidth="1"/>
    <col min="14607" max="14607" width="11" style="64" bestFit="1" customWidth="1"/>
    <col min="14608" max="14608" width="12" style="64" bestFit="1" customWidth="1"/>
    <col min="14609" max="14609" width="9.140625" style="64"/>
    <col min="14610" max="14610" width="13.7109375" style="64" customWidth="1"/>
    <col min="14611" max="14848" width="9.140625" style="64"/>
    <col min="14849" max="14849" width="9.85546875" style="64" customWidth="1"/>
    <col min="14850" max="14850" width="24.5703125" style="64" customWidth="1"/>
    <col min="14851" max="14851" width="11.28515625" style="64" bestFit="1" customWidth="1"/>
    <col min="14852" max="14852" width="20.42578125" style="64" customWidth="1"/>
    <col min="14853" max="14853" width="0.7109375" style="64" customWidth="1"/>
    <col min="14854" max="14854" width="9.7109375" style="64" customWidth="1"/>
    <col min="14855" max="14855" width="16" style="64" customWidth="1"/>
    <col min="14856" max="14856" width="7.5703125" style="64" customWidth="1"/>
    <col min="14857" max="14857" width="16.5703125" style="64" customWidth="1"/>
    <col min="14858" max="14858" width="0.7109375" style="64" customWidth="1"/>
    <col min="14859" max="14859" width="10.140625" style="64" bestFit="1" customWidth="1"/>
    <col min="14860" max="14860" width="20.140625" style="64" customWidth="1"/>
    <col min="14861" max="14861" width="8.85546875" style="64" customWidth="1"/>
    <col min="14862" max="14862" width="20.42578125" style="64" customWidth="1"/>
    <col min="14863" max="14863" width="11" style="64" bestFit="1" customWidth="1"/>
    <col min="14864" max="14864" width="12" style="64" bestFit="1" customWidth="1"/>
    <col min="14865" max="14865" width="9.140625" style="64"/>
    <col min="14866" max="14866" width="13.7109375" style="64" customWidth="1"/>
    <col min="14867" max="15104" width="9.140625" style="64"/>
    <col min="15105" max="15105" width="9.85546875" style="64" customWidth="1"/>
    <col min="15106" max="15106" width="24.5703125" style="64" customWidth="1"/>
    <col min="15107" max="15107" width="11.28515625" style="64" bestFit="1" customWidth="1"/>
    <col min="15108" max="15108" width="20.42578125" style="64" customWidth="1"/>
    <col min="15109" max="15109" width="0.7109375" style="64" customWidth="1"/>
    <col min="15110" max="15110" width="9.7109375" style="64" customWidth="1"/>
    <col min="15111" max="15111" width="16" style="64" customWidth="1"/>
    <col min="15112" max="15112" width="7.5703125" style="64" customWidth="1"/>
    <col min="15113" max="15113" width="16.5703125" style="64" customWidth="1"/>
    <col min="15114" max="15114" width="0.7109375" style="64" customWidth="1"/>
    <col min="15115" max="15115" width="10.140625" style="64" bestFit="1" customWidth="1"/>
    <col min="15116" max="15116" width="20.140625" style="64" customWidth="1"/>
    <col min="15117" max="15117" width="8.85546875" style="64" customWidth="1"/>
    <col min="15118" max="15118" width="20.42578125" style="64" customWidth="1"/>
    <col min="15119" max="15119" width="11" style="64" bestFit="1" customWidth="1"/>
    <col min="15120" max="15120" width="12" style="64" bestFit="1" customWidth="1"/>
    <col min="15121" max="15121" width="9.140625" style="64"/>
    <col min="15122" max="15122" width="13.7109375" style="64" customWidth="1"/>
    <col min="15123" max="15360" width="9.140625" style="64"/>
    <col min="15361" max="15361" width="9.85546875" style="64" customWidth="1"/>
    <col min="15362" max="15362" width="24.5703125" style="64" customWidth="1"/>
    <col min="15363" max="15363" width="11.28515625" style="64" bestFit="1" customWidth="1"/>
    <col min="15364" max="15364" width="20.42578125" style="64" customWidth="1"/>
    <col min="15365" max="15365" width="0.7109375" style="64" customWidth="1"/>
    <col min="15366" max="15366" width="9.7109375" style="64" customWidth="1"/>
    <col min="15367" max="15367" width="16" style="64" customWidth="1"/>
    <col min="15368" max="15368" width="7.5703125" style="64" customWidth="1"/>
    <col min="15369" max="15369" width="16.5703125" style="64" customWidth="1"/>
    <col min="15370" max="15370" width="0.7109375" style="64" customWidth="1"/>
    <col min="15371" max="15371" width="10.140625" style="64" bestFit="1" customWidth="1"/>
    <col min="15372" max="15372" width="20.140625" style="64" customWidth="1"/>
    <col min="15373" max="15373" width="8.85546875" style="64" customWidth="1"/>
    <col min="15374" max="15374" width="20.42578125" style="64" customWidth="1"/>
    <col min="15375" max="15375" width="11" style="64" bestFit="1" customWidth="1"/>
    <col min="15376" max="15376" width="12" style="64" bestFit="1" customWidth="1"/>
    <col min="15377" max="15377" width="9.140625" style="64"/>
    <col min="15378" max="15378" width="13.7109375" style="64" customWidth="1"/>
    <col min="15379" max="15616" width="9.140625" style="64"/>
    <col min="15617" max="15617" width="9.85546875" style="64" customWidth="1"/>
    <col min="15618" max="15618" width="24.5703125" style="64" customWidth="1"/>
    <col min="15619" max="15619" width="11.28515625" style="64" bestFit="1" customWidth="1"/>
    <col min="15620" max="15620" width="20.42578125" style="64" customWidth="1"/>
    <col min="15621" max="15621" width="0.7109375" style="64" customWidth="1"/>
    <col min="15622" max="15622" width="9.7109375" style="64" customWidth="1"/>
    <col min="15623" max="15623" width="16" style="64" customWidth="1"/>
    <col min="15624" max="15624" width="7.5703125" style="64" customWidth="1"/>
    <col min="15625" max="15625" width="16.5703125" style="64" customWidth="1"/>
    <col min="15626" max="15626" width="0.7109375" style="64" customWidth="1"/>
    <col min="15627" max="15627" width="10.140625" style="64" bestFit="1" customWidth="1"/>
    <col min="15628" max="15628" width="20.140625" style="64" customWidth="1"/>
    <col min="15629" max="15629" width="8.85546875" style="64" customWidth="1"/>
    <col min="15630" max="15630" width="20.42578125" style="64" customWidth="1"/>
    <col min="15631" max="15631" width="11" style="64" bestFit="1" customWidth="1"/>
    <col min="15632" max="15632" width="12" style="64" bestFit="1" customWidth="1"/>
    <col min="15633" max="15633" width="9.140625" style="64"/>
    <col min="15634" max="15634" width="13.7109375" style="64" customWidth="1"/>
    <col min="15635" max="15872" width="9.140625" style="64"/>
    <col min="15873" max="15873" width="9.85546875" style="64" customWidth="1"/>
    <col min="15874" max="15874" width="24.5703125" style="64" customWidth="1"/>
    <col min="15875" max="15875" width="11.28515625" style="64" bestFit="1" customWidth="1"/>
    <col min="15876" max="15876" width="20.42578125" style="64" customWidth="1"/>
    <col min="15877" max="15877" width="0.7109375" style="64" customWidth="1"/>
    <col min="15878" max="15878" width="9.7109375" style="64" customWidth="1"/>
    <col min="15879" max="15879" width="16" style="64" customWidth="1"/>
    <col min="15880" max="15880" width="7.5703125" style="64" customWidth="1"/>
    <col min="15881" max="15881" width="16.5703125" style="64" customWidth="1"/>
    <col min="15882" max="15882" width="0.7109375" style="64" customWidth="1"/>
    <col min="15883" max="15883" width="10.140625" style="64" bestFit="1" customWidth="1"/>
    <col min="15884" max="15884" width="20.140625" style="64" customWidth="1"/>
    <col min="15885" max="15885" width="8.85546875" style="64" customWidth="1"/>
    <col min="15886" max="15886" width="20.42578125" style="64" customWidth="1"/>
    <col min="15887" max="15887" width="11" style="64" bestFit="1" customWidth="1"/>
    <col min="15888" max="15888" width="12" style="64" bestFit="1" customWidth="1"/>
    <col min="15889" max="15889" width="9.140625" style="64"/>
    <col min="15890" max="15890" width="13.7109375" style="64" customWidth="1"/>
    <col min="15891" max="16128" width="9.140625" style="64"/>
    <col min="16129" max="16129" width="9.85546875" style="64" customWidth="1"/>
    <col min="16130" max="16130" width="24.5703125" style="64" customWidth="1"/>
    <col min="16131" max="16131" width="11.28515625" style="64" bestFit="1" customWidth="1"/>
    <col min="16132" max="16132" width="20.42578125" style="64" customWidth="1"/>
    <col min="16133" max="16133" width="0.7109375" style="64" customWidth="1"/>
    <col min="16134" max="16134" width="9.7109375" style="64" customWidth="1"/>
    <col min="16135" max="16135" width="16" style="64" customWidth="1"/>
    <col min="16136" max="16136" width="7.5703125" style="64" customWidth="1"/>
    <col min="16137" max="16137" width="16.5703125" style="64" customWidth="1"/>
    <col min="16138" max="16138" width="0.7109375" style="64" customWidth="1"/>
    <col min="16139" max="16139" width="10.140625" style="64" bestFit="1" customWidth="1"/>
    <col min="16140" max="16140" width="20.140625" style="64" customWidth="1"/>
    <col min="16141" max="16141" width="8.85546875" style="64" customWidth="1"/>
    <col min="16142" max="16142" width="20.42578125" style="64" customWidth="1"/>
    <col min="16143" max="16143" width="11" style="64" bestFit="1" customWidth="1"/>
    <col min="16144" max="16144" width="12" style="64" bestFit="1" customWidth="1"/>
    <col min="16145" max="16145" width="9.140625" style="64"/>
    <col min="16146" max="16146" width="13.7109375" style="64" customWidth="1"/>
    <col min="16147" max="16384" width="9.140625" style="64"/>
  </cols>
  <sheetData>
    <row r="1" spans="1:14" ht="14.25">
      <c r="A1" s="1080" t="s">
        <v>1046</v>
      </c>
      <c r="B1" s="1080"/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  <c r="N1" s="1080"/>
    </row>
    <row r="2" spans="1:14" ht="15" thickBot="1">
      <c r="A2" s="1081" t="s">
        <v>1709</v>
      </c>
      <c r="B2" s="1081"/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1081"/>
      <c r="N2" s="1081"/>
    </row>
    <row r="3" spans="1:14" ht="13.5" thickBot="1">
      <c r="A3" s="1082" t="s">
        <v>1047</v>
      </c>
      <c r="B3" s="1079"/>
      <c r="C3" s="1079"/>
      <c r="D3" s="1083"/>
      <c r="E3" s="65"/>
      <c r="F3" s="1084" t="s">
        <v>1048</v>
      </c>
      <c r="G3" s="1085"/>
      <c r="H3" s="1085"/>
      <c r="I3" s="1086"/>
      <c r="J3" s="65"/>
      <c r="K3" s="1082" t="s">
        <v>1049</v>
      </c>
      <c r="L3" s="1079"/>
      <c r="M3" s="1079"/>
      <c r="N3" s="1083"/>
    </row>
    <row r="4" spans="1:14">
      <c r="A4" s="66" t="s">
        <v>1050</v>
      </c>
      <c r="B4" s="67" t="s">
        <v>1051</v>
      </c>
      <c r="C4" s="67" t="s">
        <v>1052</v>
      </c>
      <c r="D4" s="68" t="s">
        <v>1053</v>
      </c>
      <c r="E4" s="69"/>
      <c r="F4" s="66" t="s">
        <v>1050</v>
      </c>
      <c r="G4" s="67" t="s">
        <v>1051</v>
      </c>
      <c r="H4" s="67" t="s">
        <v>1052</v>
      </c>
      <c r="I4" s="68" t="s">
        <v>1054</v>
      </c>
      <c r="J4" s="70"/>
      <c r="K4" s="66" t="s">
        <v>1050</v>
      </c>
      <c r="L4" s="67" t="s">
        <v>1051</v>
      </c>
      <c r="M4" s="67" t="s">
        <v>1052</v>
      </c>
      <c r="N4" s="68" t="s">
        <v>1054</v>
      </c>
    </row>
    <row r="5" spans="1:14" ht="14.25">
      <c r="A5" s="71">
        <v>45020</v>
      </c>
      <c r="B5" s="234">
        <v>2696305496</v>
      </c>
      <c r="C5" s="73">
        <v>6.7088000000000001</v>
      </c>
      <c r="D5" s="1046">
        <f>B5*C5</f>
        <v>18088974311.5648</v>
      </c>
      <c r="E5" s="75"/>
      <c r="F5" s="71">
        <f>A5</f>
        <v>45020</v>
      </c>
      <c r="G5" s="76">
        <v>0</v>
      </c>
      <c r="H5" s="76">
        <v>0</v>
      </c>
      <c r="I5" s="77">
        <v>0</v>
      </c>
      <c r="J5" s="78"/>
      <c r="K5" s="71">
        <f t="shared" ref="K5:K7" si="0">F5</f>
        <v>45020</v>
      </c>
      <c r="L5" s="79">
        <f>+B5-G5</f>
        <v>2696305496</v>
      </c>
      <c r="M5" s="80">
        <f t="shared" ref="M5:M19" si="1">N5/L5</f>
        <v>6.7088000000000001</v>
      </c>
      <c r="N5" s="74">
        <f>+D5-I5</f>
        <v>18088974311.5648</v>
      </c>
    </row>
    <row r="6" spans="1:14" ht="14.25">
      <c r="A6" s="71">
        <v>45050</v>
      </c>
      <c r="B6" s="234">
        <v>2813499058</v>
      </c>
      <c r="C6" s="73">
        <v>6.7088000000000001</v>
      </c>
      <c r="D6" s="1046">
        <f>B6*C6</f>
        <v>18875202480.310402</v>
      </c>
      <c r="E6" s="81"/>
      <c r="F6" s="71">
        <f t="shared" ref="F6:F7" si="2">A6</f>
        <v>45050</v>
      </c>
      <c r="G6" s="76">
        <v>0</v>
      </c>
      <c r="H6" s="76">
        <v>0</v>
      </c>
      <c r="I6" s="77">
        <v>0</v>
      </c>
      <c r="J6" s="78"/>
      <c r="K6" s="71">
        <f t="shared" si="0"/>
        <v>45050</v>
      </c>
      <c r="L6" s="79">
        <f>+B6-G6</f>
        <v>2813499058</v>
      </c>
      <c r="M6" s="80">
        <f t="shared" si="1"/>
        <v>6.708800000000001</v>
      </c>
      <c r="N6" s="74">
        <f t="shared" ref="N6:N19" si="3">+D6-I6</f>
        <v>18875202480.310402</v>
      </c>
    </row>
    <row r="7" spans="1:14" ht="15" thickBot="1">
      <c r="A7" s="71">
        <v>45081</v>
      </c>
      <c r="B7" s="234">
        <v>2713617586</v>
      </c>
      <c r="C7" s="73">
        <v>6.7088000000000001</v>
      </c>
      <c r="D7" s="1046">
        <f>B7*C7</f>
        <v>18205117660.956799</v>
      </c>
      <c r="E7" s="83"/>
      <c r="F7" s="71">
        <f t="shared" si="2"/>
        <v>45081</v>
      </c>
      <c r="G7" s="84">
        <v>0</v>
      </c>
      <c r="H7" s="84">
        <v>0</v>
      </c>
      <c r="I7" s="85">
        <v>0</v>
      </c>
      <c r="J7" s="86"/>
      <c r="K7" s="71">
        <f t="shared" si="0"/>
        <v>45081</v>
      </c>
      <c r="L7" s="87">
        <f>+B7-G7</f>
        <v>2713617586</v>
      </c>
      <c r="M7" s="88">
        <f t="shared" si="1"/>
        <v>6.7087999999999992</v>
      </c>
      <c r="N7" s="89">
        <f t="shared" si="3"/>
        <v>18205117660.956799</v>
      </c>
    </row>
    <row r="8" spans="1:14" ht="13.5" thickBot="1">
      <c r="A8" s="90"/>
      <c r="B8" s="91">
        <f>SUM(B5:B7)</f>
        <v>8223422140</v>
      </c>
      <c r="C8" s="73"/>
      <c r="D8" s="1047">
        <f>SUM(D5:D7)</f>
        <v>55169294452.832001</v>
      </c>
      <c r="E8" s="94"/>
      <c r="F8" s="90"/>
      <c r="G8" s="95">
        <f>SUM(G5:G7)</f>
        <v>0</v>
      </c>
      <c r="H8" s="95">
        <f>SUM(H5:H7)</f>
        <v>0</v>
      </c>
      <c r="I8" s="95">
        <f>SUM(I5:I7)</f>
        <v>0</v>
      </c>
      <c r="J8" s="96"/>
      <c r="K8" s="90"/>
      <c r="L8" s="91">
        <f>SUM(L5:L7)</f>
        <v>8223422140</v>
      </c>
      <c r="M8" s="97"/>
      <c r="N8" s="93">
        <f>SUM(N5:N7)</f>
        <v>55169294452.832001</v>
      </c>
    </row>
    <row r="9" spans="1:14" ht="15">
      <c r="A9" s="98">
        <v>45111</v>
      </c>
      <c r="B9" s="283">
        <v>2555188338</v>
      </c>
      <c r="C9" s="1048">
        <v>7.0582000000000003</v>
      </c>
      <c r="D9" s="1049">
        <f>B9*C9</f>
        <v>18035030327.271599</v>
      </c>
      <c r="E9" s="99"/>
      <c r="F9" s="71">
        <f t="shared" ref="F9:F11" si="4">A9</f>
        <v>45111</v>
      </c>
      <c r="G9" s="100">
        <v>0</v>
      </c>
      <c r="H9" s="100">
        <v>0</v>
      </c>
      <c r="I9" s="101">
        <v>0</v>
      </c>
      <c r="J9" s="102"/>
      <c r="K9" s="71">
        <f t="shared" ref="K9:K11" si="5">F9</f>
        <v>45111</v>
      </c>
      <c r="L9" s="103">
        <f>+B9-G9</f>
        <v>2555188338</v>
      </c>
      <c r="M9" s="104">
        <f t="shared" si="1"/>
        <v>7.0581999999999994</v>
      </c>
      <c r="N9" s="105">
        <f t="shared" si="3"/>
        <v>18035030327.271599</v>
      </c>
    </row>
    <row r="10" spans="1:14" ht="15">
      <c r="A10" s="98">
        <v>45142</v>
      </c>
      <c r="B10" s="283">
        <v>2617207395</v>
      </c>
      <c r="C10" s="1048">
        <v>7.0582000000000003</v>
      </c>
      <c r="D10" s="1049">
        <f>B10*C10</f>
        <v>18472773235.389</v>
      </c>
      <c r="E10" s="81"/>
      <c r="F10" s="71">
        <f t="shared" si="4"/>
        <v>45142</v>
      </c>
      <c r="G10" s="76">
        <v>0</v>
      </c>
      <c r="H10" s="76"/>
      <c r="I10" s="77">
        <v>0</v>
      </c>
      <c r="J10" s="78"/>
      <c r="K10" s="71">
        <f t="shared" si="5"/>
        <v>45142</v>
      </c>
      <c r="L10" s="103">
        <f>+B10-G10</f>
        <v>2617207395</v>
      </c>
      <c r="M10" s="80">
        <f t="shared" si="1"/>
        <v>7.0582000000000003</v>
      </c>
      <c r="N10" s="74">
        <f t="shared" si="3"/>
        <v>18472773235.389</v>
      </c>
    </row>
    <row r="11" spans="1:14" ht="15.75" thickBot="1">
      <c r="A11" s="98">
        <v>45173</v>
      </c>
      <c r="B11" s="283">
        <v>2614612963</v>
      </c>
      <c r="C11" s="1048">
        <v>7.0582000000000003</v>
      </c>
      <c r="D11" s="1049">
        <f>B11*C11</f>
        <v>18454461215.446602</v>
      </c>
      <c r="E11" s="83"/>
      <c r="F11" s="71">
        <f t="shared" si="4"/>
        <v>45173</v>
      </c>
      <c r="G11" s="84">
        <v>0</v>
      </c>
      <c r="H11" s="84"/>
      <c r="I11" s="85">
        <v>0</v>
      </c>
      <c r="J11" s="86"/>
      <c r="K11" s="71">
        <f t="shared" si="5"/>
        <v>45173</v>
      </c>
      <c r="L11" s="87">
        <f>+B11-G11</f>
        <v>2614612963</v>
      </c>
      <c r="M11" s="88">
        <f t="shared" si="1"/>
        <v>7.0582000000000011</v>
      </c>
      <c r="N11" s="89">
        <f t="shared" si="3"/>
        <v>18454461215.446602</v>
      </c>
    </row>
    <row r="12" spans="1:14" ht="13.5" thickBot="1">
      <c r="A12" s="90"/>
      <c r="B12" s="91">
        <f>SUM(B9:B11)</f>
        <v>7787008696</v>
      </c>
      <c r="C12" s="92"/>
      <c r="D12" s="1047">
        <f>SUM(D9:D11)</f>
        <v>54962264778.107201</v>
      </c>
      <c r="E12" s="94"/>
      <c r="F12" s="90"/>
      <c r="G12" s="106">
        <f>SUM(G9:G11)</f>
        <v>0</v>
      </c>
      <c r="H12" s="106"/>
      <c r="I12" s="106">
        <f>SUM(I9:I11)</f>
        <v>0</v>
      </c>
      <c r="J12" s="96"/>
      <c r="K12" s="90"/>
      <c r="L12" s="107">
        <f>SUM(L9:L11)</f>
        <v>7787008696</v>
      </c>
      <c r="M12" s="97"/>
      <c r="N12" s="108">
        <f>SUM(N9:N11)</f>
        <v>54962264778.107201</v>
      </c>
    </row>
    <row r="13" spans="1:14" ht="15">
      <c r="A13" s="98">
        <v>45203</v>
      </c>
      <c r="B13" s="283">
        <v>2786531818</v>
      </c>
      <c r="C13" s="73">
        <v>7.2718999999999996</v>
      </c>
      <c r="D13" s="1049">
        <f t="shared" ref="D13:D15" si="6">B13*C13</f>
        <v>20263380727.314198</v>
      </c>
      <c r="E13" s="99"/>
      <c r="F13" s="71">
        <f t="shared" ref="F13:F15" si="7">A13</f>
        <v>45203</v>
      </c>
      <c r="G13" s="100">
        <v>550000</v>
      </c>
      <c r="H13" s="100">
        <f>I13/G13</f>
        <v>9.9357000000000006</v>
      </c>
      <c r="I13" s="101">
        <v>5464635</v>
      </c>
      <c r="J13" s="102"/>
      <c r="K13" s="71">
        <f t="shared" ref="K13:K15" si="8">F13</f>
        <v>45203</v>
      </c>
      <c r="L13" s="110">
        <f>+B13-G13</f>
        <v>2785981818</v>
      </c>
      <c r="M13" s="111">
        <f t="shared" si="1"/>
        <v>7.2713741207603952</v>
      </c>
      <c r="N13" s="101">
        <f t="shared" si="3"/>
        <v>20257916092.314198</v>
      </c>
    </row>
    <row r="14" spans="1:14" ht="15">
      <c r="A14" s="98">
        <v>45234</v>
      </c>
      <c r="B14" s="283">
        <v>2088678656</v>
      </c>
      <c r="C14" s="73">
        <v>7.2718999999999996</v>
      </c>
      <c r="D14" s="1049">
        <f>B14*C14</f>
        <v>15188662318.566399</v>
      </c>
      <c r="E14" s="81"/>
      <c r="F14" s="71">
        <f t="shared" si="7"/>
        <v>45234</v>
      </c>
      <c r="G14" s="76">
        <v>0</v>
      </c>
      <c r="H14" s="76">
        <v>0</v>
      </c>
      <c r="I14" s="77">
        <v>0</v>
      </c>
      <c r="J14" s="78"/>
      <c r="K14" s="71">
        <f t="shared" si="8"/>
        <v>45234</v>
      </c>
      <c r="L14" s="112">
        <f>+B14-G14</f>
        <v>2088678656</v>
      </c>
      <c r="M14" s="113">
        <f t="shared" si="1"/>
        <v>7.2718999999999996</v>
      </c>
      <c r="N14" s="77">
        <f t="shared" si="3"/>
        <v>15188662318.566399</v>
      </c>
    </row>
    <row r="15" spans="1:14" ht="15.75" thickBot="1">
      <c r="A15" s="98">
        <v>45264</v>
      </c>
      <c r="B15" s="283">
        <v>2400659133</v>
      </c>
      <c r="C15" s="73">
        <v>7.2718999999999996</v>
      </c>
      <c r="D15" s="1049">
        <f t="shared" si="6"/>
        <v>17457353149.262699</v>
      </c>
      <c r="E15" s="83"/>
      <c r="F15" s="71">
        <f t="shared" si="7"/>
        <v>45264</v>
      </c>
      <c r="G15" s="84">
        <v>0</v>
      </c>
      <c r="H15" s="84">
        <v>0</v>
      </c>
      <c r="I15" s="85">
        <v>0</v>
      </c>
      <c r="J15" s="86"/>
      <c r="K15" s="71">
        <f t="shared" si="8"/>
        <v>45264</v>
      </c>
      <c r="L15" s="114">
        <f>+B15-G15</f>
        <v>2400659133</v>
      </c>
      <c r="M15" s="115">
        <f t="shared" si="1"/>
        <v>7.2718999999999996</v>
      </c>
      <c r="N15" s="85">
        <f t="shared" si="3"/>
        <v>17457353149.262699</v>
      </c>
    </row>
    <row r="16" spans="1:14" ht="13.5" thickBot="1">
      <c r="A16" s="90"/>
      <c r="B16" s="116">
        <f>SUM(B13:B15)</f>
        <v>7275869607</v>
      </c>
      <c r="C16" s="117"/>
      <c r="D16" s="1050">
        <f>SUM(D13:D15)</f>
        <v>52909396195.143295</v>
      </c>
      <c r="E16" s="118">
        <f t="shared" ref="E16:J16" si="9">SUM(E13:E15)</f>
        <v>0</v>
      </c>
      <c r="F16" s="90"/>
      <c r="G16" s="106">
        <f t="shared" si="9"/>
        <v>550000</v>
      </c>
      <c r="H16" s="106">
        <f t="shared" si="9"/>
        <v>9.9357000000000006</v>
      </c>
      <c r="I16" s="106">
        <f t="shared" si="9"/>
        <v>5464635</v>
      </c>
      <c r="J16" s="118">
        <f t="shared" si="9"/>
        <v>0</v>
      </c>
      <c r="K16" s="90"/>
      <c r="L16" s="116">
        <f>SUM(L13:L15)</f>
        <v>7275319607</v>
      </c>
      <c r="M16" s="118"/>
      <c r="N16" s="119">
        <f>SUM(N13:N15)</f>
        <v>52903931560.143295</v>
      </c>
    </row>
    <row r="17" spans="1:14" ht="13.5" thickBot="1">
      <c r="A17" s="98">
        <v>45295</v>
      </c>
      <c r="B17" s="72">
        <v>2580485640</v>
      </c>
      <c r="C17" s="109">
        <v>5.8162000000000003</v>
      </c>
      <c r="D17" s="77">
        <f>B17*C17</f>
        <v>15008620579.368</v>
      </c>
      <c r="E17" s="99"/>
      <c r="F17" s="71">
        <f t="shared" ref="F17:F19" si="10">A17</f>
        <v>45295</v>
      </c>
      <c r="G17" s="100">
        <v>521250</v>
      </c>
      <c r="H17" s="100">
        <f>I17/G17</f>
        <v>9.9360402877697833</v>
      </c>
      <c r="I17" s="101">
        <v>5179161</v>
      </c>
      <c r="J17" s="102"/>
      <c r="K17" s="71">
        <f t="shared" ref="K17:K19" si="11">F17</f>
        <v>45295</v>
      </c>
      <c r="L17" s="110">
        <f>+B17-G17</f>
        <v>2579964390</v>
      </c>
      <c r="M17" s="111">
        <f t="shared" si="1"/>
        <v>5.8153676370579674</v>
      </c>
      <c r="N17" s="101">
        <f t="shared" si="3"/>
        <v>15003441418.368</v>
      </c>
    </row>
    <row r="18" spans="1:14" ht="13.5" thickBot="1">
      <c r="A18" s="98">
        <v>45326</v>
      </c>
      <c r="B18" s="72">
        <v>2488346246</v>
      </c>
      <c r="C18" s="109">
        <v>5.8162000000000003</v>
      </c>
      <c r="D18" s="77">
        <f>B18*C18</f>
        <v>14472719435.985201</v>
      </c>
      <c r="E18" s="81"/>
      <c r="F18" s="71">
        <f t="shared" si="10"/>
        <v>45326</v>
      </c>
      <c r="G18" s="76">
        <v>0</v>
      </c>
      <c r="H18" s="76">
        <v>0</v>
      </c>
      <c r="I18" s="77">
        <v>0</v>
      </c>
      <c r="J18" s="78"/>
      <c r="K18" s="71">
        <f t="shared" si="11"/>
        <v>45326</v>
      </c>
      <c r="L18" s="112">
        <f>+B18-G18</f>
        <v>2488346246</v>
      </c>
      <c r="M18" s="113">
        <f t="shared" si="1"/>
        <v>5.8162000000000003</v>
      </c>
      <c r="N18" s="77">
        <f t="shared" si="3"/>
        <v>14472719435.985201</v>
      </c>
    </row>
    <row r="19" spans="1:14" ht="13.5" thickBot="1">
      <c r="A19" s="98">
        <v>45355</v>
      </c>
      <c r="B19" s="72">
        <v>2813758187</v>
      </c>
      <c r="C19" s="109">
        <v>5.8162000000000003</v>
      </c>
      <c r="D19" s="77">
        <f>B19*C19</f>
        <v>16365380367.229401</v>
      </c>
      <c r="E19" s="83"/>
      <c r="F19" s="71">
        <f t="shared" si="10"/>
        <v>45355</v>
      </c>
      <c r="G19" s="84">
        <v>0</v>
      </c>
      <c r="H19" s="84"/>
      <c r="I19" s="85">
        <v>0</v>
      </c>
      <c r="J19" s="86"/>
      <c r="K19" s="71">
        <f t="shared" si="11"/>
        <v>45355</v>
      </c>
      <c r="L19" s="110">
        <f>+B19-G19</f>
        <v>2813758187</v>
      </c>
      <c r="M19" s="113">
        <f t="shared" si="1"/>
        <v>5.8162000000000003</v>
      </c>
      <c r="N19" s="77">
        <f t="shared" si="3"/>
        <v>16365380367.229401</v>
      </c>
    </row>
    <row r="20" spans="1:14" ht="13.5" thickBot="1">
      <c r="A20" s="90"/>
      <c r="B20" s="116">
        <f>SUM(B17:B19)</f>
        <v>7882590073</v>
      </c>
      <c r="C20" s="117"/>
      <c r="D20" s="106">
        <f>SUM(D17:D19)</f>
        <v>45846720382.582603</v>
      </c>
      <c r="E20" s="94"/>
      <c r="F20" s="121"/>
      <c r="G20" s="106">
        <f>SUM(G17:G19)</f>
        <v>521250</v>
      </c>
      <c r="H20" s="106"/>
      <c r="I20" s="106">
        <f t="shared" ref="I20" si="12">SUM(I17:I19)</f>
        <v>5179161</v>
      </c>
      <c r="J20" s="96"/>
      <c r="K20" s="121"/>
      <c r="L20" s="116">
        <f>SUM(L17:L19)</f>
        <v>7882068823</v>
      </c>
      <c r="M20" s="122"/>
      <c r="N20" s="95">
        <f>SUM(N17:N19)</f>
        <v>45841541221.582603</v>
      </c>
    </row>
    <row r="21" spans="1:14" ht="13.5" thickBot="1">
      <c r="A21" s="1045" t="s">
        <v>56</v>
      </c>
      <c r="B21" s="116">
        <f>B8+B12+B16+B20</f>
        <v>31168890516</v>
      </c>
      <c r="C21" s="119">
        <f>D21/B21</f>
        <v>6.7018001715985474</v>
      </c>
      <c r="D21" s="106">
        <f>D8+D12+D16+D20</f>
        <v>208887675808.66513</v>
      </c>
      <c r="E21" s="94"/>
      <c r="F21" s="124"/>
      <c r="G21" s="106">
        <f>G8+G12+G16+G20</f>
        <v>1071250</v>
      </c>
      <c r="H21" s="106"/>
      <c r="I21" s="106">
        <f>I8+I12+I16+I20</f>
        <v>10643796</v>
      </c>
      <c r="J21" s="96"/>
      <c r="K21" s="124"/>
      <c r="L21" s="116">
        <f>L8+L12+L16+L20</f>
        <v>31167819266</v>
      </c>
      <c r="M21" s="122">
        <f>N21/L21</f>
        <v>6.7016890155200093</v>
      </c>
      <c r="N21" s="95">
        <f>N8+N12+N16+N20</f>
        <v>208877032012.66513</v>
      </c>
    </row>
    <row r="22" spans="1:14" s="127" customFormat="1">
      <c r="A22" s="125"/>
      <c r="B22" s="126"/>
      <c r="D22" s="126"/>
      <c r="F22" s="128"/>
      <c r="M22" s="129"/>
    </row>
    <row r="23" spans="1:14">
      <c r="B23" s="131"/>
    </row>
    <row r="24" spans="1:14" ht="13.5" thickBot="1">
      <c r="G24" s="146"/>
      <c r="I24" s="146"/>
      <c r="K24" s="1051" t="s">
        <v>1710</v>
      </c>
    </row>
    <row r="25" spans="1:14" s="136" customFormat="1" ht="13.5" thickBot="1">
      <c r="A25" s="1078" t="s">
        <v>1</v>
      </c>
      <c r="B25" s="1079"/>
      <c r="C25" s="132" t="s">
        <v>1055</v>
      </c>
      <c r="D25" s="133" t="s">
        <v>1056</v>
      </c>
      <c r="E25" s="134"/>
      <c r="F25" s="135" t="s">
        <v>1057</v>
      </c>
    </row>
    <row r="26" spans="1:14" ht="15">
      <c r="A26" s="137" t="s">
        <v>1058</v>
      </c>
      <c r="B26" s="138"/>
      <c r="C26" s="376">
        <f>+B21/10^6</f>
        <v>31168.890515999999</v>
      </c>
      <c r="D26" s="105">
        <f>+D21/10^7</f>
        <v>20888.767580866512</v>
      </c>
      <c r="F26" s="139">
        <f>+D26/C26*10</f>
        <v>6.7018001715985465</v>
      </c>
      <c r="H26" s="140"/>
      <c r="I26" s="1052"/>
      <c r="J26" s="141"/>
      <c r="K26" s="1052"/>
      <c r="L26" s="141"/>
      <c r="M26" s="142"/>
    </row>
    <row r="27" spans="1:14" ht="15">
      <c r="A27" s="143" t="s">
        <v>1059</v>
      </c>
      <c r="B27" s="144"/>
      <c r="C27" s="377"/>
      <c r="D27" s="74"/>
      <c r="F27" s="145" t="e">
        <f t="shared" ref="F27:F32" si="13">+D27/C27*10</f>
        <v>#DIV/0!</v>
      </c>
      <c r="G27" s="146"/>
      <c r="H27" s="147"/>
      <c r="I27" s="1053"/>
      <c r="J27" s="142"/>
      <c r="K27" s="1054">
        <v>70145</v>
      </c>
      <c r="L27" s="1055"/>
      <c r="M27" s="142"/>
    </row>
    <row r="28" spans="1:14" ht="15">
      <c r="A28" s="143" t="s">
        <v>1060</v>
      </c>
      <c r="B28" s="144"/>
      <c r="C28" s="377"/>
      <c r="D28" s="74"/>
      <c r="F28" s="145" t="e">
        <f>+D28/C28*10</f>
        <v>#DIV/0!</v>
      </c>
      <c r="I28" s="142"/>
      <c r="J28" s="142"/>
      <c r="K28" s="1056" t="s">
        <v>1711</v>
      </c>
      <c r="L28" s="1055"/>
      <c r="M28" s="142"/>
    </row>
    <row r="29" spans="1:14" ht="15">
      <c r="A29" s="143" t="s">
        <v>1061</v>
      </c>
      <c r="B29" s="144"/>
      <c r="C29" s="377"/>
      <c r="D29" s="74"/>
      <c r="F29" s="145" t="e">
        <f t="shared" si="13"/>
        <v>#DIV/0!</v>
      </c>
      <c r="I29" s="1057"/>
      <c r="J29" s="142"/>
      <c r="K29" s="1054">
        <v>70410</v>
      </c>
      <c r="L29" s="1055"/>
      <c r="M29" s="142"/>
    </row>
    <row r="30" spans="1:14" ht="15">
      <c r="A30" s="148" t="s">
        <v>1062</v>
      </c>
      <c r="B30" s="144"/>
      <c r="C30" s="378">
        <f>SUM(C26:C29)</f>
        <v>31168.890515999999</v>
      </c>
      <c r="D30" s="77">
        <f>SUM(D26:D29)</f>
        <v>20888.767580866512</v>
      </c>
      <c r="F30" s="145">
        <f t="shared" si="13"/>
        <v>6.7018001715985465</v>
      </c>
      <c r="J30" s="142"/>
      <c r="K30" s="1058"/>
      <c r="L30" s="142"/>
      <c r="M30" s="142"/>
    </row>
    <row r="31" spans="1:14" ht="15">
      <c r="A31" s="143" t="s">
        <v>1063</v>
      </c>
      <c r="B31" s="144"/>
      <c r="C31" s="377"/>
      <c r="D31" s="74"/>
      <c r="F31" s="145" t="e">
        <f t="shared" si="13"/>
        <v>#DIV/0!</v>
      </c>
      <c r="K31" s="1054">
        <v>61810</v>
      </c>
      <c r="L31" s="131"/>
    </row>
    <row r="32" spans="1:14">
      <c r="A32" s="143" t="s">
        <v>1064</v>
      </c>
      <c r="B32" s="144"/>
      <c r="C32" s="377">
        <v>0</v>
      </c>
      <c r="D32" s="74">
        <v>0</v>
      </c>
      <c r="F32" s="145" t="e">
        <f t="shared" si="13"/>
        <v>#DIV/0!</v>
      </c>
      <c r="H32" s="146"/>
      <c r="K32" s="1059"/>
    </row>
    <row r="33" spans="1:7" ht="13.5" thickBot="1">
      <c r="A33" s="149" t="s">
        <v>1065</v>
      </c>
      <c r="B33" s="150"/>
      <c r="C33" s="379">
        <f>+C30-C31-C32</f>
        <v>31168.890515999999</v>
      </c>
      <c r="D33" s="151">
        <f>+D30-D31-D32</f>
        <v>20888.767580866512</v>
      </c>
      <c r="F33" s="152">
        <f>+D33/C33*10</f>
        <v>6.7018001715985465</v>
      </c>
    </row>
    <row r="35" spans="1:7">
      <c r="D35" s="140"/>
      <c r="G35" s="140"/>
    </row>
  </sheetData>
  <mergeCells count="6">
    <mergeCell ref="A25:B25"/>
    <mergeCell ref="A1:N1"/>
    <mergeCell ref="A2:N2"/>
    <mergeCell ref="A3:D3"/>
    <mergeCell ref="F3:I3"/>
    <mergeCell ref="K3:N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H43"/>
  <sheetViews>
    <sheetView view="pageBreakPreview" zoomScale="70" zoomScaleNormal="80" zoomScaleSheetLayoutView="70" workbookViewId="0">
      <selection activeCell="G46" sqref="G46"/>
    </sheetView>
  </sheetViews>
  <sheetFormatPr defaultRowHeight="12.75"/>
  <cols>
    <col min="1" max="1" width="70.140625" style="408" customWidth="1"/>
    <col min="2" max="2" width="9.140625" style="408" hidden="1" customWidth="1"/>
    <col min="3" max="3" width="15.85546875" style="408" customWidth="1"/>
    <col min="4" max="4" width="17.7109375" style="408" hidden="1" customWidth="1"/>
    <col min="5" max="5" width="16.140625" style="408" customWidth="1"/>
    <col min="6" max="10" width="9.140625" style="408" hidden="1" customWidth="1"/>
    <col min="11" max="11" width="16.42578125" style="408" hidden="1" customWidth="1"/>
    <col min="12" max="12" width="15.85546875" style="408" customWidth="1"/>
    <col min="13" max="13" width="15.7109375" style="408" hidden="1" customWidth="1"/>
    <col min="14" max="14" width="17.28515625" style="408" hidden="1" customWidth="1"/>
    <col min="15" max="17" width="15.7109375" style="408" hidden="1" customWidth="1"/>
    <col min="18" max="18" width="16.7109375" style="408" customWidth="1"/>
    <col min="19" max="26" width="9.140625" style="408" hidden="1" customWidth="1"/>
    <col min="27" max="30" width="9.140625" style="408"/>
    <col min="31" max="31" width="11.5703125" style="408" customWidth="1"/>
    <col min="32" max="32" width="9.140625" style="408"/>
    <col min="33" max="33" width="13" style="408" bestFit="1" customWidth="1"/>
    <col min="34" max="16384" width="9.140625" style="408"/>
  </cols>
  <sheetData>
    <row r="1" spans="1:33" ht="20.25">
      <c r="A1" s="1200" t="s">
        <v>1046</v>
      </c>
      <c r="B1" s="1201"/>
      <c r="C1" s="1201"/>
      <c r="D1" s="1201"/>
      <c r="E1" s="1201"/>
      <c r="F1" s="1201"/>
      <c r="G1" s="1201"/>
      <c r="H1" s="1201"/>
      <c r="I1" s="1201"/>
      <c r="J1" s="1201"/>
      <c r="K1" s="1201"/>
      <c r="L1" s="1201"/>
      <c r="M1" s="1201"/>
      <c r="N1" s="1201"/>
      <c r="O1" s="1201"/>
      <c r="P1" s="1201"/>
      <c r="Q1" s="1201"/>
      <c r="R1" s="1202"/>
      <c r="S1" s="406"/>
      <c r="T1" s="406"/>
      <c r="U1" s="406"/>
      <c r="V1" s="406"/>
      <c r="W1" s="406"/>
      <c r="X1" s="407"/>
    </row>
    <row r="2" spans="1:33" ht="20.25">
      <c r="A2" s="409"/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1" t="s">
        <v>1298</v>
      </c>
      <c r="S2" s="412"/>
      <c r="T2" s="413"/>
      <c r="U2" s="413"/>
      <c r="V2" s="413"/>
      <c r="W2" s="413"/>
      <c r="X2" s="413"/>
    </row>
    <row r="3" spans="1:33" ht="20.25">
      <c r="A3" s="1203" t="s">
        <v>1299</v>
      </c>
      <c r="B3" s="1204"/>
      <c r="C3" s="1204"/>
      <c r="D3" s="1204"/>
      <c r="E3" s="1204"/>
      <c r="F3" s="1204"/>
      <c r="G3" s="1204"/>
      <c r="H3" s="1204"/>
      <c r="I3" s="1204"/>
      <c r="J3" s="1204"/>
      <c r="K3" s="1204"/>
      <c r="L3" s="1204"/>
      <c r="M3" s="1204"/>
      <c r="N3" s="1204"/>
      <c r="O3" s="1204"/>
      <c r="P3" s="1204"/>
      <c r="Q3" s="1204"/>
      <c r="R3" s="1205"/>
      <c r="S3" s="414"/>
      <c r="T3" s="414"/>
      <c r="U3" s="414"/>
      <c r="V3" s="414"/>
      <c r="W3" s="414"/>
      <c r="X3" s="415"/>
    </row>
    <row r="4" spans="1:33" ht="18.75" thickBot="1">
      <c r="A4" s="416"/>
      <c r="B4" s="417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7"/>
      <c r="N4" s="417"/>
      <c r="O4" s="417"/>
      <c r="P4" s="417"/>
      <c r="Q4" s="418"/>
      <c r="R4" s="411" t="s">
        <v>1300</v>
      </c>
      <c r="S4" s="412"/>
      <c r="T4" s="413"/>
      <c r="U4" s="413"/>
      <c r="V4" s="413"/>
      <c r="W4" s="413"/>
      <c r="X4" s="413"/>
    </row>
    <row r="5" spans="1:33" ht="61.5" customHeight="1" thickBot="1">
      <c r="A5" s="419" t="s">
        <v>1</v>
      </c>
      <c r="B5" s="420" t="s">
        <v>1301</v>
      </c>
      <c r="C5" s="421" t="s">
        <v>1302</v>
      </c>
      <c r="D5" s="421" t="s">
        <v>1303</v>
      </c>
      <c r="E5" s="421" t="s">
        <v>1304</v>
      </c>
      <c r="F5" s="1206" t="s">
        <v>1305</v>
      </c>
      <c r="G5" s="1206"/>
      <c r="H5" s="1206"/>
      <c r="I5" s="1206"/>
      <c r="J5" s="1206"/>
      <c r="K5" s="422" t="s">
        <v>1306</v>
      </c>
      <c r="L5" s="423" t="s">
        <v>1307</v>
      </c>
      <c r="M5" s="1207" t="s">
        <v>1308</v>
      </c>
      <c r="N5" s="1208"/>
      <c r="O5" s="1208"/>
      <c r="P5" s="1208"/>
      <c r="Q5" s="1208"/>
      <c r="R5" s="1209"/>
      <c r="S5" s="1210" t="s">
        <v>1309</v>
      </c>
      <c r="T5" s="1198"/>
      <c r="U5" s="1198"/>
      <c r="V5" s="1198"/>
      <c r="W5" s="1198" t="s">
        <v>1310</v>
      </c>
      <c r="X5" s="1198" t="s">
        <v>1311</v>
      </c>
      <c r="AG5" s="408" t="s">
        <v>1350</v>
      </c>
    </row>
    <row r="6" spans="1:33" ht="50.25" customHeight="1">
      <c r="A6" s="424"/>
      <c r="B6" s="425"/>
      <c r="C6" s="426" t="s">
        <v>2</v>
      </c>
      <c r="D6" s="426" t="s">
        <v>2</v>
      </c>
      <c r="E6" s="426" t="s">
        <v>2</v>
      </c>
      <c r="F6" s="426" t="s">
        <v>1312</v>
      </c>
      <c r="G6" s="426" t="s">
        <v>1312</v>
      </c>
      <c r="H6" s="426" t="s">
        <v>1312</v>
      </c>
      <c r="I6" s="426" t="s">
        <v>1312</v>
      </c>
      <c r="J6" s="426" t="s">
        <v>1312</v>
      </c>
      <c r="K6" s="426" t="s">
        <v>1312</v>
      </c>
      <c r="L6" s="426" t="s">
        <v>2</v>
      </c>
      <c r="M6" s="425" t="s">
        <v>1313</v>
      </c>
      <c r="N6" s="425" t="s">
        <v>1314</v>
      </c>
      <c r="O6" s="425" t="s">
        <v>1315</v>
      </c>
      <c r="P6" s="425" t="s">
        <v>1316</v>
      </c>
      <c r="Q6" s="425" t="s">
        <v>1317</v>
      </c>
      <c r="R6" s="427" t="s">
        <v>2</v>
      </c>
      <c r="S6" s="428" t="s">
        <v>1318</v>
      </c>
      <c r="T6" s="429" t="s">
        <v>1319</v>
      </c>
      <c r="U6" s="429" t="s">
        <v>1320</v>
      </c>
      <c r="V6" s="429" t="s">
        <v>1321</v>
      </c>
      <c r="W6" s="1198"/>
      <c r="X6" s="1198"/>
    </row>
    <row r="7" spans="1:33" ht="18">
      <c r="A7" s="430" t="s">
        <v>3</v>
      </c>
      <c r="B7" s="431"/>
      <c r="C7" s="432"/>
      <c r="D7" s="433" t="s">
        <v>1322</v>
      </c>
      <c r="E7" s="432"/>
      <c r="F7" s="432"/>
      <c r="G7" s="432"/>
      <c r="H7" s="432"/>
      <c r="I7" s="432"/>
      <c r="J7" s="432"/>
      <c r="K7" s="432"/>
      <c r="L7" s="432"/>
      <c r="M7" s="431"/>
      <c r="N7" s="431"/>
      <c r="O7" s="431"/>
      <c r="P7" s="431"/>
      <c r="Q7" s="431"/>
      <c r="R7" s="434"/>
      <c r="S7" s="435"/>
      <c r="T7" s="436"/>
      <c r="U7" s="436"/>
      <c r="V7" s="436"/>
      <c r="W7" s="436"/>
      <c r="X7" s="436"/>
    </row>
    <row r="8" spans="1:33" ht="18">
      <c r="A8" s="437" t="s">
        <v>1323</v>
      </c>
      <c r="B8" s="438">
        <v>16</v>
      </c>
      <c r="C8" s="439">
        <f>'[9]Revenue-B_'!E17</f>
        <v>16764.055353078002</v>
      </c>
      <c r="D8" s="439">
        <f>'[9]Revenue-B'!E17+'[9]Revenue-B'!E22</f>
        <v>6611.9537530920006</v>
      </c>
      <c r="E8" s="439">
        <v>19685.71</v>
      </c>
      <c r="F8" s="439">
        <f>+'[10]DGVCL 0607'!D34+(54.68*9/12)</f>
        <v>41.096908999999997</v>
      </c>
      <c r="G8" s="439">
        <f>+'[10]DGVCL 0607'!E34</f>
        <v>1284.3699999999999</v>
      </c>
      <c r="H8" s="439">
        <f>+'[10]DGVCL 0607'!F34</f>
        <v>523.71699999999998</v>
      </c>
      <c r="I8" s="439">
        <f>+'[10]DGVCL 0607'!G34</f>
        <v>494.85569999999996</v>
      </c>
      <c r="J8" s="439">
        <f>+I8+H8+G8+F8</f>
        <v>2344.0396089999995</v>
      </c>
      <c r="K8" s="439">
        <f>+'[10]DGVCL 0607'!I34</f>
        <v>27.102359249999999</v>
      </c>
      <c r="L8" s="439">
        <f>'[9]Revenue-B_'!K17</f>
        <v>21023.448041808675</v>
      </c>
      <c r="M8" s="440">
        <f t="shared" ref="M8:M14" si="0">R8-Q8-P8-N8-O8</f>
        <v>0</v>
      </c>
      <c r="N8" s="440">
        <f>'[9]Revenue-B_'!N17</f>
        <v>5143.1091236060811</v>
      </c>
      <c r="O8" s="440">
        <f>'[9]Revenue-B_'!Q17</f>
        <v>6243.9781244053829</v>
      </c>
      <c r="P8" s="440">
        <f>'[9]Revenue-B_'!T17</f>
        <v>5838.9806489899665</v>
      </c>
      <c r="Q8" s="440">
        <f>'[9]Revenue-B_'!W17</f>
        <v>7861.639575388599</v>
      </c>
      <c r="R8" s="441">
        <f>'[9]Revenue-B_'!Z17</f>
        <v>25087.70747239003</v>
      </c>
      <c r="S8" s="442">
        <f>+'[10]QTR 0708'!I36</f>
        <v>904.17082908277177</v>
      </c>
      <c r="T8" s="443">
        <f>+'[10]QTR 0708'!J36</f>
        <v>940.93095495966793</v>
      </c>
      <c r="U8" s="443">
        <f>+'[10]QTR 0708'!K36</f>
        <v>878.06149448107215</v>
      </c>
      <c r="V8" s="443">
        <f>+'[10]QTR 0708'!L36</f>
        <v>896.09253685889746</v>
      </c>
      <c r="W8" s="443" t="e">
        <f>+R8-#REF!</f>
        <v>#REF!</v>
      </c>
      <c r="X8" s="444" t="e">
        <f>+W8/#REF!</f>
        <v>#REF!</v>
      </c>
      <c r="Y8" s="445">
        <f>L8-D8</f>
        <v>14411.494288716674</v>
      </c>
      <c r="Z8" s="445">
        <f>R8-L8</f>
        <v>4064.2594305813545</v>
      </c>
      <c r="AA8" s="445">
        <f>SUM(M8:Q8)-R8</f>
        <v>0</v>
      </c>
      <c r="AG8" s="408">
        <f>+L8*9/12</f>
        <v>15767.586031356506</v>
      </c>
    </row>
    <row r="9" spans="1:33" ht="18">
      <c r="A9" s="446" t="s">
        <v>1324</v>
      </c>
      <c r="B9" s="438"/>
      <c r="C9" s="439">
        <f>'[9]Revenue-B_'!E24</f>
        <v>250.54929999999999</v>
      </c>
      <c r="D9" s="439"/>
      <c r="E9" s="439">
        <v>304.02999999999997</v>
      </c>
      <c r="F9" s="439"/>
      <c r="G9" s="439"/>
      <c r="H9" s="439"/>
      <c r="I9" s="439"/>
      <c r="J9" s="439"/>
      <c r="K9" s="439"/>
      <c r="L9" s="439">
        <f>'[9]Revenue-B_'!K24</f>
        <v>130.504224421</v>
      </c>
      <c r="M9" s="440">
        <f t="shared" si="0"/>
        <v>2.8421709430404007E-14</v>
      </c>
      <c r="N9" s="440">
        <f>'[9]Revenue-B_'!N24</f>
        <v>15.399999999999999</v>
      </c>
      <c r="O9" s="440">
        <f>'[9]Revenue-B_'!Q24</f>
        <v>26.269333871066671</v>
      </c>
      <c r="P9" s="440">
        <f>'[9]Revenue-B_'!T24</f>
        <v>31.594660977199997</v>
      </c>
      <c r="Q9" s="440">
        <f>'[9]Revenue-B_'!W24</f>
        <v>58.902026628080002</v>
      </c>
      <c r="R9" s="441">
        <f>'[9]Revenue-B_'!Z24</f>
        <v>132.16602147634669</v>
      </c>
      <c r="S9" s="442"/>
      <c r="T9" s="443"/>
      <c r="U9" s="443"/>
      <c r="V9" s="443"/>
      <c r="W9" s="443"/>
      <c r="X9" s="444"/>
      <c r="Y9" s="445"/>
      <c r="Z9" s="445"/>
      <c r="AA9" s="445"/>
      <c r="AG9" s="408">
        <f>+L9*9/12</f>
        <v>97.878168315749988</v>
      </c>
    </row>
    <row r="10" spans="1:33" ht="18">
      <c r="A10" s="437" t="s">
        <v>1171</v>
      </c>
      <c r="B10" s="438">
        <v>18</v>
      </c>
      <c r="C10" s="439">
        <f>'[9]Revenue-B_'!E33</f>
        <v>155.8845</v>
      </c>
      <c r="D10" s="439">
        <f>'[9]Revenue-B'!E31</f>
        <v>44.077676572000016</v>
      </c>
      <c r="E10" s="439">
        <v>61.5</v>
      </c>
      <c r="F10" s="439">
        <f>+'[10]DGVCL 0607'!D63</f>
        <v>5.4392256919999999</v>
      </c>
      <c r="G10" s="439">
        <f>+'[10]DGVCL 0607'!E63</f>
        <v>9.52</v>
      </c>
      <c r="H10" s="439">
        <f>+'[10]DGVCL 0607'!F63</f>
        <v>4.1287000000000003</v>
      </c>
      <c r="I10" s="439">
        <f>+'[10]DGVCL 0607'!G63</f>
        <v>4.1495000000000006</v>
      </c>
      <c r="J10" s="439">
        <f>+I10+H10+G10+F10</f>
        <v>23.237425692000002</v>
      </c>
      <c r="K10" s="439">
        <f>+'[10]DGVCL 0607'!I63</f>
        <v>24.346300922666668</v>
      </c>
      <c r="L10" s="490">
        <f>'[9]Revenue-B_'!K33</f>
        <v>129.52410460000002</v>
      </c>
      <c r="M10" s="440">
        <f>R10-Q10-P10-N10-O10</f>
        <v>0</v>
      </c>
      <c r="N10" s="440">
        <f>'[9]Revenue-B_'!N33</f>
        <v>28.959999999999997</v>
      </c>
      <c r="O10" s="440">
        <f>'[9]Revenue-B_'!Q33</f>
        <v>53.79</v>
      </c>
      <c r="P10" s="440">
        <f>'[9]Revenue-B_'!T33</f>
        <v>30.79</v>
      </c>
      <c r="Q10" s="440">
        <f>'[9]Revenue-B_'!W33</f>
        <v>45.865547032000002</v>
      </c>
      <c r="R10" s="441">
        <f>'[9]Revenue-B_'!Z33</f>
        <v>159.40554703199999</v>
      </c>
      <c r="S10" s="442"/>
      <c r="T10" s="443"/>
      <c r="U10" s="443"/>
      <c r="V10" s="443"/>
      <c r="W10" s="443"/>
      <c r="X10" s="444"/>
      <c r="Y10" s="445"/>
      <c r="Z10" s="445"/>
      <c r="AA10" s="445"/>
      <c r="AG10" s="489">
        <f>+L10*9/12</f>
        <v>97.143078450000019</v>
      </c>
    </row>
    <row r="11" spans="1:33" ht="18">
      <c r="A11" s="437" t="s">
        <v>1325</v>
      </c>
      <c r="B11" s="438">
        <v>17</v>
      </c>
      <c r="C11" s="439">
        <f>'[9]Revenue-B_'!E39</f>
        <v>225.47120000000001</v>
      </c>
      <c r="D11" s="439">
        <f>'[9]Revenue-B'!E37</f>
        <v>168.22178803499997</v>
      </c>
      <c r="E11" s="439">
        <v>228.53</v>
      </c>
      <c r="F11" s="439">
        <f>+'[10]DGVCL 0607'!D45</f>
        <v>10</v>
      </c>
      <c r="G11" s="439">
        <f>+'[10]POWER PUR 0708'!C17</f>
        <v>23.52</v>
      </c>
      <c r="H11" s="439">
        <f>+'[10]POWER PUR 0708'!D17</f>
        <v>12.82</v>
      </c>
      <c r="I11" s="439">
        <f>+'[10]POWER PUR 0708'!E17</f>
        <v>13.12</v>
      </c>
      <c r="J11" s="439">
        <f>+I11+H11+G11+F11</f>
        <v>59.459999999999994</v>
      </c>
      <c r="K11" s="439">
        <f>+'[10]DGVCL 0607'!I45</f>
        <v>17.120533924</v>
      </c>
      <c r="L11" s="439">
        <f>'[9]Revenue-B_'!K39</f>
        <v>231.81</v>
      </c>
      <c r="M11" s="440">
        <f>'[9]Revenue-B_'!Z39-'[9]Revenue-B_'!N38</f>
        <v>183.46</v>
      </c>
      <c r="N11" s="440">
        <f>'[9]Revenue-B_'!N38</f>
        <v>56.21</v>
      </c>
      <c r="O11" s="440">
        <f>'[9]Revenue-B'!N37</f>
        <v>0</v>
      </c>
      <c r="P11" s="440">
        <f>'[9]Revenue-B'!Q37</f>
        <v>0</v>
      </c>
      <c r="Q11" s="440">
        <f>'[9]Revenue-B'!T37</f>
        <v>0</v>
      </c>
      <c r="R11" s="441">
        <f>'[9]Revenue-B_'!Z39</f>
        <v>239.67000000000002</v>
      </c>
      <c r="S11" s="442">
        <f>+'[10]QTR 0708'!I47</f>
        <v>3.7118325644480006</v>
      </c>
      <c r="T11" s="443">
        <f>+'[10]QTR 0708'!J47</f>
        <v>5.0109739620048011</v>
      </c>
      <c r="U11" s="443">
        <f>+'[10]QTR 0708'!K47</f>
        <v>4.2686074491152013</v>
      </c>
      <c r="V11" s="443">
        <f>+'[10]QTR 0708'!L47</f>
        <v>5.567748846672</v>
      </c>
      <c r="W11" s="443" t="e">
        <f>+R11-#REF!</f>
        <v>#REF!</v>
      </c>
      <c r="X11" s="444" t="e">
        <f>+W11/#REF!</f>
        <v>#REF!</v>
      </c>
      <c r="Y11" s="445">
        <f t="shared" ref="Y11:Y34" si="1">L11-D11</f>
        <v>63.588211965000028</v>
      </c>
      <c r="Z11" s="445">
        <f t="shared" ref="Z11:Z34" si="2">R11-L11</f>
        <v>7.8600000000000136</v>
      </c>
      <c r="AA11" s="445">
        <f t="shared" ref="AA11:AA34" si="3">SUM(M11:Q11)-R11</f>
        <v>0</v>
      </c>
      <c r="AC11" s="408">
        <f>(L12*100)/C12</f>
        <v>123.67980841528724</v>
      </c>
      <c r="AG11" s="408">
        <f>+L11*9/12</f>
        <v>173.85749999999999</v>
      </c>
    </row>
    <row r="12" spans="1:33" ht="18">
      <c r="A12" s="447" t="s">
        <v>1326</v>
      </c>
      <c r="B12" s="448"/>
      <c r="C12" s="449">
        <f>ROUND(SUM(C8:C11),2)</f>
        <v>17395.96</v>
      </c>
      <c r="D12" s="449">
        <f>ROUND(SUM(D8:D11),2)</f>
        <v>6824.25</v>
      </c>
      <c r="E12" s="449">
        <f>SUM(E8:E11)</f>
        <v>20279.769999999997</v>
      </c>
      <c r="F12" s="449">
        <f t="shared" ref="F12:V12" si="4">ROUND(SUM(F8:F11),2)</f>
        <v>56.54</v>
      </c>
      <c r="G12" s="449">
        <f t="shared" si="4"/>
        <v>1317.41</v>
      </c>
      <c r="H12" s="449">
        <f t="shared" si="4"/>
        <v>540.66999999999996</v>
      </c>
      <c r="I12" s="449">
        <f t="shared" si="4"/>
        <v>512.13</v>
      </c>
      <c r="J12" s="449">
        <f t="shared" si="4"/>
        <v>2426.7399999999998</v>
      </c>
      <c r="K12" s="449">
        <f t="shared" si="4"/>
        <v>68.569999999999993</v>
      </c>
      <c r="L12" s="449">
        <f t="shared" si="4"/>
        <v>21515.29</v>
      </c>
      <c r="M12" s="450">
        <f t="shared" si="4"/>
        <v>183.46</v>
      </c>
      <c r="N12" s="450">
        <f t="shared" si="4"/>
        <v>5243.68</v>
      </c>
      <c r="O12" s="450">
        <f t="shared" si="4"/>
        <v>6324.04</v>
      </c>
      <c r="P12" s="450">
        <f t="shared" si="4"/>
        <v>5901.37</v>
      </c>
      <c r="Q12" s="450">
        <f t="shared" si="4"/>
        <v>7966.41</v>
      </c>
      <c r="R12" s="451">
        <f t="shared" si="4"/>
        <v>25618.95</v>
      </c>
      <c r="S12" s="452">
        <f t="shared" si="4"/>
        <v>907.88</v>
      </c>
      <c r="T12" s="453">
        <f t="shared" si="4"/>
        <v>945.94</v>
      </c>
      <c r="U12" s="453">
        <f t="shared" si="4"/>
        <v>882.33</v>
      </c>
      <c r="V12" s="453">
        <f t="shared" si="4"/>
        <v>901.66</v>
      </c>
      <c r="W12" s="443" t="e">
        <f>+R12-#REF!</f>
        <v>#REF!</v>
      </c>
      <c r="X12" s="444" t="e">
        <f>+W12/#REF!</f>
        <v>#REF!</v>
      </c>
      <c r="Y12" s="445">
        <f t="shared" si="1"/>
        <v>14691.04</v>
      </c>
      <c r="Z12" s="445">
        <f t="shared" si="2"/>
        <v>4103.66</v>
      </c>
      <c r="AA12" s="445">
        <f t="shared" si="3"/>
        <v>9.9999999983992893E-3</v>
      </c>
      <c r="AG12" s="449">
        <f t="shared" ref="AG12" si="5">ROUND(SUM(AG8:AG11),2)</f>
        <v>16136.46</v>
      </c>
    </row>
    <row r="13" spans="1:33" ht="18">
      <c r="A13" s="430" t="s">
        <v>15</v>
      </c>
      <c r="B13" s="438"/>
      <c r="C13" s="454"/>
      <c r="D13" s="455"/>
      <c r="E13" s="455"/>
      <c r="F13" s="455"/>
      <c r="G13" s="455"/>
      <c r="H13" s="455"/>
      <c r="I13" s="455"/>
      <c r="J13" s="455"/>
      <c r="K13" s="455"/>
      <c r="L13" s="454"/>
      <c r="M13" s="456"/>
      <c r="N13" s="456"/>
      <c r="O13" s="456"/>
      <c r="P13" s="456"/>
      <c r="Q13" s="456"/>
      <c r="R13" s="451"/>
      <c r="S13" s="457"/>
      <c r="T13" s="458"/>
      <c r="U13" s="458"/>
      <c r="V13" s="458"/>
      <c r="W13" s="443"/>
      <c r="X13" s="444"/>
      <c r="Y13" s="445">
        <f t="shared" si="1"/>
        <v>0</v>
      </c>
      <c r="Z13" s="445">
        <f t="shared" si="2"/>
        <v>0</v>
      </c>
      <c r="AA13" s="445">
        <f t="shared" si="3"/>
        <v>0</v>
      </c>
    </row>
    <row r="14" spans="1:33" ht="18">
      <c r="A14" s="446" t="s">
        <v>1327</v>
      </c>
      <c r="B14" s="438"/>
      <c r="C14" s="454">
        <f>'[9]Annex-C Power Purchase'!C8</f>
        <v>16121.3</v>
      </c>
      <c r="D14" s="439">
        <f>'[9]Annex-C Power Purchase'!C8</f>
        <v>16121.3</v>
      </c>
      <c r="E14" s="439">
        <v>18939.73</v>
      </c>
      <c r="F14" s="439"/>
      <c r="G14" s="439">
        <f>+'[10]POWER PUR 0708'!C6</f>
        <v>1252.1500000000001</v>
      </c>
      <c r="H14" s="439">
        <f>+'[10]POWER PUR 0708'!D6</f>
        <v>554.91999999999996</v>
      </c>
      <c r="I14" s="439">
        <f>+'[10]POWER PUR 0708'!E6</f>
        <v>491.61</v>
      </c>
      <c r="J14" s="439">
        <f t="shared" ref="J14:J19" si="6">+I14+H14+G14+F14</f>
        <v>2298.6800000000003</v>
      </c>
      <c r="K14" s="439"/>
      <c r="L14" s="439">
        <f>'[9]Annex-C Power Purchase'!D8</f>
        <v>21915.580168852415</v>
      </c>
      <c r="M14" s="440">
        <f t="shared" si="0"/>
        <v>0</v>
      </c>
      <c r="N14" s="440">
        <f>'[9]Annex-C Power Purchase'!I8</f>
        <v>5106.3405674393853</v>
      </c>
      <c r="O14" s="440">
        <f>'[9]Annex-C Power Purchase'!J8</f>
        <v>6627.4098678539667</v>
      </c>
      <c r="P14" s="440">
        <f>'[9]Annex-C Power Purchase'!K8</f>
        <v>5927.7504663064474</v>
      </c>
      <c r="Q14" s="440">
        <f>'[9]Annex-C Power Purchase'!L8</f>
        <v>7282.1725971324659</v>
      </c>
      <c r="R14" s="441">
        <f>'[9]Annex-C Power Purchase'!M8</f>
        <v>24943.673498732267</v>
      </c>
      <c r="S14" s="459">
        <f>+'[10]POWER PUR 0708'!T6</f>
        <v>845.03</v>
      </c>
      <c r="T14" s="460">
        <f>+'[10]POWER PUR 0708'!U6</f>
        <v>841.86</v>
      </c>
      <c r="U14" s="460">
        <f>+'[10]POWER PUR 0708'!V6</f>
        <v>829.2</v>
      </c>
      <c r="V14" s="460">
        <f>+'[10]POWER PUR 0708'!W6</f>
        <v>816.61</v>
      </c>
      <c r="W14" s="443" t="e">
        <f>+R14-#REF!</f>
        <v>#REF!</v>
      </c>
      <c r="X14" s="444" t="e">
        <f>+W14/#REF!</f>
        <v>#REF!</v>
      </c>
      <c r="Y14" s="445">
        <f t="shared" si="1"/>
        <v>5794.280168852416</v>
      </c>
      <c r="Z14" s="445">
        <f t="shared" si="2"/>
        <v>3028.0933298798518</v>
      </c>
      <c r="AA14" s="445">
        <f t="shared" si="3"/>
        <v>0</v>
      </c>
      <c r="AG14" s="408">
        <f>+L14*9/12</f>
        <v>16436.68512663931</v>
      </c>
    </row>
    <row r="15" spans="1:33" ht="18.75">
      <c r="A15" s="437" t="s">
        <v>1328</v>
      </c>
      <c r="B15" s="438">
        <v>19</v>
      </c>
      <c r="C15" s="454">
        <f>'[9]74-Annex-D'!C63/10^2</f>
        <v>61.226410548000004</v>
      </c>
      <c r="D15" s="439">
        <f>'[9]Old_Annexure D '!C80/100</f>
        <v>30.880169683999998</v>
      </c>
      <c r="E15" s="439">
        <v>72.62</v>
      </c>
      <c r="F15" s="439">
        <f>+'[10]DGVCL 0607'!D79</f>
        <v>1.3252699999999999E-2</v>
      </c>
      <c r="G15" s="439">
        <f>+'[10]DGVCL 0607'!E79</f>
        <v>5.26</v>
      </c>
      <c r="H15" s="439">
        <f>+'[10]DGVCL 0607'!F79</f>
        <v>5.5835000000000008</v>
      </c>
      <c r="I15" s="439">
        <f>+'[10]DGVCL 0607'!G79</f>
        <v>3.8372000000000002</v>
      </c>
      <c r="J15" s="439">
        <f t="shared" si="6"/>
        <v>14.693952700000001</v>
      </c>
      <c r="K15" s="439">
        <f>+'[10]DGVCL 0607'!I79</f>
        <v>2.2347805433333333E-2</v>
      </c>
      <c r="L15" s="439">
        <f>'[9]74-Annex-D'!F63/10^2</f>
        <v>83.67765</v>
      </c>
      <c r="M15" s="440">
        <f>'[9]74-Annex-D'!G63/10^2</f>
        <v>1.5068999999999999</v>
      </c>
      <c r="N15" s="440">
        <f>'[9]74-Annex-D'!H63/10^2</f>
        <v>16.101603509500002</v>
      </c>
      <c r="O15" s="440">
        <f>'[9]74-Annex-D'!I63/10^2</f>
        <v>26.631600000000002</v>
      </c>
      <c r="P15" s="440">
        <f>'[9]74-Annex-D'!J63/10^2</f>
        <v>22.497680480000003</v>
      </c>
      <c r="Q15" s="440">
        <f>'[9]74-Annex-D'!K63/10^2</f>
        <v>22.054000000000002</v>
      </c>
      <c r="R15" s="441">
        <f>'[9]74-Annex-D'!L63/10^2</f>
        <v>88.791783989500004</v>
      </c>
      <c r="S15" s="442">
        <f>+'[10]QTR 0708'!I81</f>
        <v>5.9929530391410015</v>
      </c>
      <c r="T15" s="443">
        <f>+'[10]QTR 0708'!J81</f>
        <v>6.1579156028403501</v>
      </c>
      <c r="U15" s="443">
        <f>+'[10]QTR 0708'!K81</f>
        <v>6.1266289950121493</v>
      </c>
      <c r="V15" s="443">
        <f>+'[10]QTR 0708'!L81</f>
        <v>6.1989575587115002</v>
      </c>
      <c r="W15" s="443" t="e">
        <f>+R15-#REF!</f>
        <v>#REF!</v>
      </c>
      <c r="X15" s="444" t="e">
        <f>+W15/#REF!</f>
        <v>#REF!</v>
      </c>
      <c r="Y15" s="445">
        <f t="shared" si="1"/>
        <v>52.797480316000005</v>
      </c>
      <c r="Z15" s="445">
        <f t="shared" si="2"/>
        <v>5.1141339895000044</v>
      </c>
      <c r="AA15" s="445">
        <f t="shared" si="3"/>
        <v>0</v>
      </c>
      <c r="AB15" s="445">
        <f>R15-L15</f>
        <v>5.1141339895000044</v>
      </c>
      <c r="AC15" s="461">
        <f>AB15/L15*100</f>
        <v>6.1117084305068365</v>
      </c>
      <c r="AD15" s="462">
        <f>L15+(42.86*0.15)</f>
        <v>90.106650000000002</v>
      </c>
      <c r="AE15" s="461">
        <f>R15-AD15</f>
        <v>-1.3148660104999976</v>
      </c>
      <c r="AG15" s="408">
        <f t="shared" ref="AG15:AG19" si="7">+L15*9/12</f>
        <v>62.7582375</v>
      </c>
    </row>
    <row r="16" spans="1:33" ht="18.75">
      <c r="A16" s="437" t="s">
        <v>1329</v>
      </c>
      <c r="B16" s="438">
        <v>20</v>
      </c>
      <c r="C16" s="454">
        <f>'[9]75-Annex-E'!C32/10^2</f>
        <v>568.39522223099993</v>
      </c>
      <c r="D16" s="439">
        <f>'[9]Annexure E'!C28/100</f>
        <v>237.00889925199996</v>
      </c>
      <c r="E16" s="439">
        <v>588.44000000000005</v>
      </c>
      <c r="F16" s="439">
        <f>+'[10]DGVCL 0607'!D107</f>
        <v>3.3366441500000001</v>
      </c>
      <c r="G16" s="439">
        <f>+'[10]DGVCL 0607'!E107</f>
        <v>20.09</v>
      </c>
      <c r="H16" s="439">
        <f>+'[10]DGVCL 0607'!F107</f>
        <v>20.576600000000006</v>
      </c>
      <c r="I16" s="439">
        <f>+'[10]DGVCL 0607'!G107</f>
        <v>15.393799999999999</v>
      </c>
      <c r="J16" s="439">
        <f t="shared" si="6"/>
        <v>59.397044149999999</v>
      </c>
      <c r="K16" s="439">
        <f>+'[10]DGVCL 0607'!I107</f>
        <v>13.659866308566667</v>
      </c>
      <c r="L16" s="439">
        <f>'[9]75-Annex-E'!F31/10^2</f>
        <v>612.50502201500001</v>
      </c>
      <c r="M16" s="440">
        <f>'[9]75-Annex-E'!G31/10^2</f>
        <v>84.313119953960012</v>
      </c>
      <c r="N16" s="440">
        <f>'[9]75-Annex-E'!H31/10^2</f>
        <v>102.7612271278</v>
      </c>
      <c r="O16" s="440">
        <f>'[9]75-Annex-E'!I31/10^2</f>
        <v>143.31370000000001</v>
      </c>
      <c r="P16" s="440">
        <f>'[9]75-Annex-E'!J31/10^2</f>
        <v>209.93520000000004</v>
      </c>
      <c r="Q16" s="440">
        <f>'[9]75-Annex-E'!K31/10^2</f>
        <v>136.10424220000002</v>
      </c>
      <c r="R16" s="441">
        <f>'[9]75-Annex-E'!L31/10^2</f>
        <v>676.4274892817599</v>
      </c>
      <c r="S16" s="442">
        <f>+'[10]QTR 0708'!I109</f>
        <v>31.705337199999999</v>
      </c>
      <c r="T16" s="443">
        <f>+'[10]QTR 0708'!J109</f>
        <v>25.128276199999998</v>
      </c>
      <c r="U16" s="443">
        <f>+'[10]QTR 0708'!K109</f>
        <v>25.869720000000001</v>
      </c>
      <c r="V16" s="443">
        <f>+'[10]QTR 0708'!L109</f>
        <v>27.283004999999999</v>
      </c>
      <c r="W16" s="443" t="e">
        <f>+R16-#REF!</f>
        <v>#REF!</v>
      </c>
      <c r="X16" s="444" t="e">
        <f>+W16/#REF!</f>
        <v>#REF!</v>
      </c>
      <c r="Y16" s="445">
        <f t="shared" si="1"/>
        <v>375.49612276300002</v>
      </c>
      <c r="Z16" s="445">
        <f t="shared" si="2"/>
        <v>63.922467266759895</v>
      </c>
      <c r="AA16" s="445">
        <f t="shared" si="3"/>
        <v>0</v>
      </c>
      <c r="AB16" s="445">
        <f>R16-L16</f>
        <v>63.922467266759895</v>
      </c>
      <c r="AC16" s="461">
        <f>AB16/L16*100</f>
        <v>10.436235617541509</v>
      </c>
      <c r="AD16" s="462">
        <f>L16+(314.86*0.15)</f>
        <v>659.73402201500005</v>
      </c>
      <c r="AE16" s="461">
        <f>R16-AD16</f>
        <v>16.693467266759853</v>
      </c>
      <c r="AG16" s="408">
        <f t="shared" si="7"/>
        <v>459.37876651124998</v>
      </c>
    </row>
    <row r="17" spans="1:34" ht="18.75">
      <c r="A17" s="446" t="s">
        <v>1330</v>
      </c>
      <c r="B17" s="438">
        <v>21</v>
      </c>
      <c r="C17" s="454">
        <f>'[9]76 Annex-F'!C100/10^2</f>
        <v>126.09906940000002</v>
      </c>
      <c r="D17" s="439">
        <f>'[9]Annexure F'!C98/100-0.01</f>
        <v>59.230528549000013</v>
      </c>
      <c r="E17" s="439">
        <v>178.86</v>
      </c>
      <c r="F17" s="439">
        <f>+'[10]DGVCL 0607'!D160</f>
        <v>1.5483350429999998</v>
      </c>
      <c r="G17" s="439">
        <f>+'[10]DGVCL 0607'!E160</f>
        <v>6.2203999999999997</v>
      </c>
      <c r="H17" s="439">
        <f>+'[10]DGVCL 0607'!F160</f>
        <v>4.2995000000000001</v>
      </c>
      <c r="I17" s="439">
        <f>+'[10]DGVCL 0607'!G160</f>
        <v>3.3214000000000001</v>
      </c>
      <c r="J17" s="439">
        <f t="shared" si="6"/>
        <v>15.389635043</v>
      </c>
      <c r="K17" s="439">
        <f>+'[10]DGVCL 0607'!I160</f>
        <v>3.2080613719833333</v>
      </c>
      <c r="L17" s="439">
        <f>'[9]76 Annex-F'!F100/10^2</f>
        <v>120.44875510382144</v>
      </c>
      <c r="M17" s="440">
        <f>'[9]76 Annex-F'!G100/10^2</f>
        <v>23.161290000000005</v>
      </c>
      <c r="N17" s="440">
        <f>'[9]76 Annex-F'!H100/10^2</f>
        <v>21.934150702980002</v>
      </c>
      <c r="O17" s="440">
        <f>'[9]76 Annex-F'!I100/10^2</f>
        <v>38.310899999999997</v>
      </c>
      <c r="P17" s="440">
        <f>'[9]76 Annex-F'!J100/10^2</f>
        <v>39.638174131503085</v>
      </c>
      <c r="Q17" s="440">
        <f>'[9]76 Annex-F'!K100/10^2</f>
        <v>25.909592250000006</v>
      </c>
      <c r="R17" s="441">
        <f>'[9]76 Annex-F'!L100/10^2</f>
        <v>148.9541070844831</v>
      </c>
      <c r="S17" s="442">
        <f>+'[10]QTR 0708'!I162</f>
        <v>8.3955039389308332</v>
      </c>
      <c r="T17" s="443">
        <f>+'[10]QTR 0708'!J162</f>
        <v>7.0502571923248318</v>
      </c>
      <c r="U17" s="443">
        <f>+'[10]QTR 0708'!K162</f>
        <v>7.1359811579758334</v>
      </c>
      <c r="V17" s="443">
        <f>+'[10]QTR 0708'!L162</f>
        <v>7.1164590827518346</v>
      </c>
      <c r="W17" s="443" t="e">
        <f>+R17-#REF!</f>
        <v>#REF!</v>
      </c>
      <c r="X17" s="444" t="e">
        <f>+W17/#REF!</f>
        <v>#REF!</v>
      </c>
      <c r="Y17" s="445">
        <f t="shared" si="1"/>
        <v>61.218226554821427</v>
      </c>
      <c r="Z17" s="445">
        <f t="shared" si="2"/>
        <v>28.505351980661658</v>
      </c>
      <c r="AA17" s="445">
        <f t="shared" si="3"/>
        <v>0</v>
      </c>
      <c r="AB17" s="463">
        <f>R17/L17-100%</f>
        <v>0.23665958154645361</v>
      </c>
      <c r="AC17" s="461">
        <f>AB17/L17*100</f>
        <v>0.19648155046722038</v>
      </c>
      <c r="AD17" s="462">
        <f>L17+(78.436*0.15)</f>
        <v>132.21415510382144</v>
      </c>
      <c r="AE17" s="461">
        <f>R17-AD17</f>
        <v>16.739951980661658</v>
      </c>
      <c r="AG17" s="408">
        <f t="shared" si="7"/>
        <v>90.33656632786608</v>
      </c>
    </row>
    <row r="18" spans="1:34" ht="18.75">
      <c r="A18" s="446" t="s">
        <v>27</v>
      </c>
      <c r="B18" s="438">
        <v>22</v>
      </c>
      <c r="C18" s="454">
        <f>'[9]77-Annex-G'!C17/10^2</f>
        <v>365.79187086999991</v>
      </c>
      <c r="D18" s="439" t="e">
        <f>'[9] Annexure H'!C16/100</f>
        <v>#REF!</v>
      </c>
      <c r="E18" s="439">
        <v>397.96</v>
      </c>
      <c r="F18" s="439">
        <f>+'[10]DGVCL 0607'!D177</f>
        <v>7.4251939999999995E-3</v>
      </c>
      <c r="G18" s="439">
        <f>+'[10]DGVCL 0607'!E177</f>
        <v>8.01</v>
      </c>
      <c r="H18" s="439">
        <f>+'[10]DGVCL 0607'!F177</f>
        <v>12.2073</v>
      </c>
      <c r="I18" s="439">
        <f>+'[10]DGVCL 0607'!G177</f>
        <v>9.0787000000000013</v>
      </c>
      <c r="J18" s="439">
        <f t="shared" si="6"/>
        <v>29.303425193999999</v>
      </c>
      <c r="K18" s="439">
        <f>+'[10]DGVCL 0607'!I177</f>
        <v>1.60539892692E-2</v>
      </c>
      <c r="L18" s="439">
        <f>'[9]77-Annex-G'!F17/10^2</f>
        <v>397.96314048488222</v>
      </c>
      <c r="M18" s="440">
        <f>'[9]77-Annex-G'!G17/10^2</f>
        <v>5.1478494068971301</v>
      </c>
      <c r="N18" s="440">
        <f>'[9]77-Annex-G'!H17/10^2</f>
        <v>101.34173435768038</v>
      </c>
      <c r="O18" s="440">
        <f>'[9]77-Annex-G'!I17/10^2</f>
        <v>122.27965807344157</v>
      </c>
      <c r="P18" s="440">
        <f>'[9]77-Annex-G'!J17/10^2</f>
        <v>111.80365118037007</v>
      </c>
      <c r="Q18" s="440">
        <f>'[9]77-Annex-G'!K17/10^2</f>
        <v>97.420563361582651</v>
      </c>
      <c r="R18" s="441">
        <f>'[9]77-Annex-G'!L17/10^2</f>
        <v>437.9934563799718</v>
      </c>
      <c r="S18" s="442">
        <f>+'[10]QTR 0708'!I179</f>
        <v>13.24157002432</v>
      </c>
      <c r="T18" s="443">
        <f>+'[10]QTR 0708'!J179</f>
        <v>12.971244629751997</v>
      </c>
      <c r="U18" s="443">
        <f>+'[10]QTR 0708'!K179</f>
        <v>13.113987487899999</v>
      </c>
      <c r="V18" s="443">
        <f>+'[10]QTR 0708'!L179</f>
        <v>13.334083539627999</v>
      </c>
      <c r="W18" s="443" t="e">
        <f>+R18-#REF!</f>
        <v>#REF!</v>
      </c>
      <c r="X18" s="444" t="e">
        <f>+W18/#REF!</f>
        <v>#REF!</v>
      </c>
      <c r="Y18" s="445" t="e">
        <f t="shared" si="1"/>
        <v>#REF!</v>
      </c>
      <c r="Z18" s="445">
        <f t="shared" si="2"/>
        <v>40.030315895089586</v>
      </c>
      <c r="AA18" s="445">
        <f t="shared" si="3"/>
        <v>0</v>
      </c>
      <c r="AB18" s="445">
        <f>R18-L18</f>
        <v>40.030315895089586</v>
      </c>
      <c r="AC18" s="461">
        <f>AB18/L18*100</f>
        <v>10.058799879384873</v>
      </c>
      <c r="AD18" s="462">
        <f>L18+(191.67*0.15)</f>
        <v>426.71364048488221</v>
      </c>
      <c r="AE18" s="461">
        <f>R18-AD18</f>
        <v>11.279815895089598</v>
      </c>
      <c r="AG18" s="408">
        <f t="shared" si="7"/>
        <v>298.47235536366168</v>
      </c>
    </row>
    <row r="19" spans="1:34" ht="18.75">
      <c r="A19" s="437" t="s">
        <v>1331</v>
      </c>
      <c r="B19" s="438">
        <v>23</v>
      </c>
      <c r="C19" s="454">
        <f>'[9]78-Annex-H'!C37/100</f>
        <v>88.262325799999999</v>
      </c>
      <c r="D19" s="439">
        <f>'[9]Annexure G'!C41/100</f>
        <v>98.130115316000015</v>
      </c>
      <c r="E19" s="439">
        <v>111.35</v>
      </c>
      <c r="F19" s="439">
        <f>+'[10]DGVCL 0607'!D216</f>
        <v>3.8182863559999998</v>
      </c>
      <c r="G19" s="439">
        <f>+'[10]DGVCL 0607'!E216</f>
        <v>1.0228999999999999</v>
      </c>
      <c r="H19" s="439">
        <f>+'[10]DGVCL 0607'!F216</f>
        <v>3.6133000000000002</v>
      </c>
      <c r="I19" s="439">
        <f>+'[10]DGVCL 0607'!G216</f>
        <v>0.38140000000000002</v>
      </c>
      <c r="J19" s="439">
        <f t="shared" si="6"/>
        <v>8.8358863559999996</v>
      </c>
      <c r="K19" s="439">
        <f>+'[10]DGVCL 0607'!I216</f>
        <v>62.533908276113337</v>
      </c>
      <c r="L19" s="439">
        <f>'[9]78-Annex-H'!F37/10^2</f>
        <v>108.23809999999999</v>
      </c>
      <c r="M19" s="440">
        <f>'[9]78-Annex-H'!G37/10^2</f>
        <v>7.4110000000000005</v>
      </c>
      <c r="N19" s="440">
        <f>'[9]78-Annex-H'!H37/10^2</f>
        <v>39.975300000000004</v>
      </c>
      <c r="O19" s="440">
        <f>'[9]78-Annex-H'!I37/10^2</f>
        <v>40.438600000000001</v>
      </c>
      <c r="P19" s="440">
        <f>'[9]78-Annex-H'!J37/10^2</f>
        <v>40.117200000000004</v>
      </c>
      <c r="Q19" s="440">
        <f>'[9]78-Annex-H'!K37/10^2</f>
        <v>40.708962249999999</v>
      </c>
      <c r="R19" s="441">
        <f>'[9]78-Annex-H'!L37/10^2</f>
        <v>168.65106225</v>
      </c>
      <c r="S19" s="442">
        <f>+'[10]QTR 0708'!I218</f>
        <v>21.84365092247975</v>
      </c>
      <c r="T19" s="443">
        <f>+'[10]QTR 0708'!J218</f>
        <v>19.483250922479748</v>
      </c>
      <c r="U19" s="443">
        <f>+'[10]QTR 0708'!K218</f>
        <v>18.881250922479747</v>
      </c>
      <c r="V19" s="443">
        <f>+'[10]QTR 0708'!L218-0.05</f>
        <v>26.070450922479747</v>
      </c>
      <c r="W19" s="443" t="e">
        <f>+R19-#REF!</f>
        <v>#REF!</v>
      </c>
      <c r="X19" s="444" t="e">
        <f>+W19/#REF!</f>
        <v>#REF!</v>
      </c>
      <c r="Y19" s="445">
        <f t="shared" si="1"/>
        <v>10.107984683999973</v>
      </c>
      <c r="Z19" s="445">
        <f t="shared" si="2"/>
        <v>60.412962250000007</v>
      </c>
      <c r="AA19" s="445">
        <f t="shared" si="3"/>
        <v>0</v>
      </c>
      <c r="AB19" s="445">
        <f>R19-L19</f>
        <v>60.412962250000007</v>
      </c>
      <c r="AC19" s="461">
        <f>AB19/L19*100</f>
        <v>55.814876877920085</v>
      </c>
      <c r="AD19" s="462">
        <f>L19+(114.2*0.15)</f>
        <v>125.36809999999998</v>
      </c>
      <c r="AE19" s="461">
        <f>R19-AD19</f>
        <v>43.282962250000011</v>
      </c>
      <c r="AG19" s="408">
        <f t="shared" si="7"/>
        <v>81.178574999999995</v>
      </c>
    </row>
    <row r="20" spans="1:34" ht="18">
      <c r="A20" s="447" t="s">
        <v>1332</v>
      </c>
      <c r="B20" s="438"/>
      <c r="C20" s="449">
        <f t="shared" ref="C20:V20" si="8">ROUND(SUM(C14:C19),2)</f>
        <v>17331.07</v>
      </c>
      <c r="D20" s="449" t="e">
        <f t="shared" si="8"/>
        <v>#REF!</v>
      </c>
      <c r="E20" s="449">
        <f>SUM(E14:E19)</f>
        <v>20288.959999999995</v>
      </c>
      <c r="F20" s="449">
        <f t="shared" si="8"/>
        <v>8.7200000000000006</v>
      </c>
      <c r="G20" s="449">
        <f t="shared" si="8"/>
        <v>1292.75</v>
      </c>
      <c r="H20" s="449">
        <f t="shared" si="8"/>
        <v>601.20000000000005</v>
      </c>
      <c r="I20" s="449">
        <f t="shared" si="8"/>
        <v>523.62</v>
      </c>
      <c r="J20" s="449">
        <f t="shared" si="8"/>
        <v>2426.3000000000002</v>
      </c>
      <c r="K20" s="449">
        <f t="shared" si="8"/>
        <v>79.44</v>
      </c>
      <c r="L20" s="449">
        <f t="shared" si="8"/>
        <v>23238.41</v>
      </c>
      <c r="M20" s="450">
        <f t="shared" si="8"/>
        <v>121.54</v>
      </c>
      <c r="N20" s="450">
        <f t="shared" si="8"/>
        <v>5388.45</v>
      </c>
      <c r="O20" s="450">
        <f t="shared" si="8"/>
        <v>6998.38</v>
      </c>
      <c r="P20" s="450">
        <f t="shared" si="8"/>
        <v>6351.74</v>
      </c>
      <c r="Q20" s="450">
        <f t="shared" si="8"/>
        <v>7604.37</v>
      </c>
      <c r="R20" s="451">
        <f t="shared" si="8"/>
        <v>26464.49</v>
      </c>
      <c r="S20" s="452">
        <f t="shared" si="8"/>
        <v>926.21</v>
      </c>
      <c r="T20" s="453">
        <f t="shared" si="8"/>
        <v>912.65</v>
      </c>
      <c r="U20" s="453">
        <f t="shared" si="8"/>
        <v>900.33</v>
      </c>
      <c r="V20" s="453">
        <f t="shared" si="8"/>
        <v>896.61</v>
      </c>
      <c r="W20" s="443" t="e">
        <f>+R20-#REF!</f>
        <v>#REF!</v>
      </c>
      <c r="X20" s="444" t="e">
        <f>+W20/#REF!</f>
        <v>#REF!</v>
      </c>
      <c r="Y20" s="445" t="e">
        <f t="shared" si="1"/>
        <v>#REF!</v>
      </c>
      <c r="Z20" s="445">
        <f t="shared" si="2"/>
        <v>3226.0800000000017</v>
      </c>
      <c r="AA20" s="445">
        <f t="shared" si="3"/>
        <v>-1.0000000002037268E-2</v>
      </c>
      <c r="AG20" s="449">
        <f t="shared" ref="AG20" si="9">ROUND(SUM(AG14:AG19),2)</f>
        <v>17428.810000000001</v>
      </c>
    </row>
    <row r="21" spans="1:34" ht="18">
      <c r="A21" s="430" t="s">
        <v>1333</v>
      </c>
      <c r="B21" s="438"/>
      <c r="C21" s="454"/>
      <c r="D21" s="455"/>
      <c r="E21" s="455"/>
      <c r="F21" s="455"/>
      <c r="G21" s="455"/>
      <c r="H21" s="455"/>
      <c r="I21" s="455"/>
      <c r="J21" s="455"/>
      <c r="K21" s="455"/>
      <c r="L21" s="455"/>
      <c r="M21" s="456"/>
      <c r="N21" s="456"/>
      <c r="O21" s="456"/>
      <c r="P21" s="456"/>
      <c r="Q21" s="456"/>
      <c r="R21" s="441"/>
      <c r="S21" s="442"/>
      <c r="T21" s="443"/>
      <c r="U21" s="443"/>
      <c r="V21" s="443"/>
      <c r="W21" s="443"/>
      <c r="X21" s="444"/>
      <c r="Y21" s="445">
        <f t="shared" si="1"/>
        <v>0</v>
      </c>
      <c r="Z21" s="445">
        <f t="shared" si="2"/>
        <v>0</v>
      </c>
      <c r="AA21" s="445">
        <f t="shared" si="3"/>
        <v>0</v>
      </c>
    </row>
    <row r="22" spans="1:34" ht="18">
      <c r="A22" s="437" t="s">
        <v>1334</v>
      </c>
      <c r="B22" s="438">
        <v>24</v>
      </c>
      <c r="C22" s="454">
        <v>79.25</v>
      </c>
      <c r="D22" s="439">
        <v>103.8466</v>
      </c>
      <c r="E22" s="439">
        <v>131.80000000000001</v>
      </c>
      <c r="F22" s="439">
        <f>+'[10]DGVCL 0607'!D227</f>
        <v>0</v>
      </c>
      <c r="G22" s="439">
        <f>+'[10]DGVCL 0607'!E227</f>
        <v>0.02</v>
      </c>
      <c r="H22" s="439">
        <f>+'[10]DGVCL 0607'!F227</f>
        <v>0</v>
      </c>
      <c r="I22" s="439">
        <f>+'[10]DGVCL 0607'!G227</f>
        <v>10.291300000000001</v>
      </c>
      <c r="J22" s="439">
        <f>+I22+H22+G22+F22</f>
        <v>10.311300000000001</v>
      </c>
      <c r="K22" s="439">
        <f>+'[10]DGVCL 0607'!I227</f>
        <v>0</v>
      </c>
      <c r="L22" s="439">
        <v>117.75</v>
      </c>
      <c r="M22" s="440">
        <f>(M16+M17+M19)*0.15</f>
        <v>17.232811493094001</v>
      </c>
      <c r="N22" s="440">
        <f t="shared" ref="N22:Q22" si="10">(N16+N17+N19)*0.15</f>
        <v>24.700601674616998</v>
      </c>
      <c r="O22" s="440">
        <f t="shared" si="10"/>
        <v>33.309480000000001</v>
      </c>
      <c r="P22" s="440">
        <f t="shared" si="10"/>
        <v>43.453586119725465</v>
      </c>
      <c r="Q22" s="440">
        <f t="shared" si="10"/>
        <v>30.408419504999998</v>
      </c>
      <c r="R22" s="441">
        <f>SUM(M22:Q22)</f>
        <v>149.10489879243647</v>
      </c>
      <c r="S22" s="442">
        <f>+'[10]QTR 0708'!I229</f>
        <v>7.0555000000000003</v>
      </c>
      <c r="T22" s="443">
        <f>+'[10]QTR 0708'!J229</f>
        <v>7.7722000000000007</v>
      </c>
      <c r="U22" s="443">
        <f>+'[10]QTR 0708'!K229</f>
        <v>7.8682999999999996</v>
      </c>
      <c r="V22" s="443">
        <f>+'[10]QTR 0708'!L229</f>
        <v>18.236000000000001</v>
      </c>
      <c r="W22" s="443" t="e">
        <f>+R22-#REF!</f>
        <v>#REF!</v>
      </c>
      <c r="X22" s="444" t="e">
        <f>+W22/#REF!</f>
        <v>#REF!</v>
      </c>
      <c r="Y22" s="445">
        <f t="shared" si="1"/>
        <v>13.903400000000005</v>
      </c>
      <c r="Z22" s="445">
        <f t="shared" si="2"/>
        <v>31.354898792436472</v>
      </c>
      <c r="AA22" s="445">
        <f t="shared" si="3"/>
        <v>0</v>
      </c>
      <c r="AC22" s="408">
        <f>(L20*100)/C20</f>
        <v>134.08525844047713</v>
      </c>
    </row>
    <row r="23" spans="1:34" ht="18">
      <c r="A23" s="447" t="s">
        <v>1332</v>
      </c>
      <c r="B23" s="438"/>
      <c r="C23" s="449">
        <f>ROUND(SUM(C22:C22),2)</f>
        <v>79.25</v>
      </c>
      <c r="D23" s="449">
        <f>ROUND(SUM(D22:D22),2)</f>
        <v>103.85</v>
      </c>
      <c r="E23" s="449">
        <f>E22</f>
        <v>131.80000000000001</v>
      </c>
      <c r="F23" s="449">
        <f t="shared" ref="F23:V23" si="11">ROUND(SUM(F22:F22),2)</f>
        <v>0</v>
      </c>
      <c r="G23" s="449">
        <f t="shared" si="11"/>
        <v>0.02</v>
      </c>
      <c r="H23" s="449">
        <f t="shared" si="11"/>
        <v>0</v>
      </c>
      <c r="I23" s="449">
        <f t="shared" si="11"/>
        <v>10.29</v>
      </c>
      <c r="J23" s="449">
        <f t="shared" si="11"/>
        <v>10.31</v>
      </c>
      <c r="K23" s="449">
        <f t="shared" si="11"/>
        <v>0</v>
      </c>
      <c r="L23" s="449">
        <f t="shared" si="11"/>
        <v>117.75</v>
      </c>
      <c r="M23" s="450">
        <f t="shared" si="11"/>
        <v>17.23</v>
      </c>
      <c r="N23" s="450">
        <f t="shared" si="11"/>
        <v>24.7</v>
      </c>
      <c r="O23" s="450">
        <f t="shared" si="11"/>
        <v>33.31</v>
      </c>
      <c r="P23" s="450">
        <f t="shared" si="11"/>
        <v>43.45</v>
      </c>
      <c r="Q23" s="450">
        <f t="shared" si="11"/>
        <v>30.41</v>
      </c>
      <c r="R23" s="451">
        <f t="shared" si="11"/>
        <v>149.1</v>
      </c>
      <c r="S23" s="452">
        <f t="shared" si="11"/>
        <v>7.06</v>
      </c>
      <c r="T23" s="453">
        <f t="shared" si="11"/>
        <v>7.77</v>
      </c>
      <c r="U23" s="453">
        <f t="shared" si="11"/>
        <v>7.87</v>
      </c>
      <c r="V23" s="453">
        <f t="shared" si="11"/>
        <v>18.239999999999998</v>
      </c>
      <c r="W23" s="443" t="e">
        <f>+R23-#REF!</f>
        <v>#REF!</v>
      </c>
      <c r="X23" s="444" t="e">
        <f>+W23/#REF!</f>
        <v>#REF!</v>
      </c>
      <c r="Y23" s="445">
        <f t="shared" si="1"/>
        <v>13.900000000000006</v>
      </c>
      <c r="Z23" s="445">
        <f t="shared" si="2"/>
        <v>31.349999999999994</v>
      </c>
      <c r="AA23" s="445">
        <f t="shared" si="3"/>
        <v>0</v>
      </c>
    </row>
    <row r="24" spans="1:34" ht="18">
      <c r="A24" s="447" t="s">
        <v>1332</v>
      </c>
      <c r="B24" s="438"/>
      <c r="C24" s="449">
        <f>+ROUND((C20-C23-C21),2)</f>
        <v>17251.82</v>
      </c>
      <c r="D24" s="449" t="e">
        <f>+ROUND((D20-D23),2)</f>
        <v>#REF!</v>
      </c>
      <c r="E24" s="449">
        <f>E20-E23</f>
        <v>20157.159999999996</v>
      </c>
      <c r="F24" s="449">
        <f t="shared" ref="F24:V24" si="12">+ROUND((F20-F23),2)</f>
        <v>8.7200000000000006</v>
      </c>
      <c r="G24" s="449">
        <f t="shared" si="12"/>
        <v>1292.73</v>
      </c>
      <c r="H24" s="449">
        <f t="shared" si="12"/>
        <v>601.20000000000005</v>
      </c>
      <c r="I24" s="449">
        <f t="shared" si="12"/>
        <v>513.33000000000004</v>
      </c>
      <c r="J24" s="449">
        <f t="shared" si="12"/>
        <v>2415.9899999999998</v>
      </c>
      <c r="K24" s="449">
        <f t="shared" si="12"/>
        <v>79.44</v>
      </c>
      <c r="L24" s="449">
        <f>+ROUND((L20-L23),2)</f>
        <v>23120.66</v>
      </c>
      <c r="M24" s="450">
        <f t="shared" si="12"/>
        <v>104.31</v>
      </c>
      <c r="N24" s="450">
        <f t="shared" si="12"/>
        <v>5363.75</v>
      </c>
      <c r="O24" s="450">
        <f t="shared" si="12"/>
        <v>6965.07</v>
      </c>
      <c r="P24" s="450">
        <f t="shared" si="12"/>
        <v>6308.29</v>
      </c>
      <c r="Q24" s="450">
        <f t="shared" si="12"/>
        <v>7573.96</v>
      </c>
      <c r="R24" s="451">
        <f t="shared" si="12"/>
        <v>26315.39</v>
      </c>
      <c r="S24" s="452">
        <f t="shared" si="12"/>
        <v>919.15</v>
      </c>
      <c r="T24" s="453">
        <f t="shared" si="12"/>
        <v>904.88</v>
      </c>
      <c r="U24" s="453">
        <f t="shared" si="12"/>
        <v>892.46</v>
      </c>
      <c r="V24" s="453">
        <f t="shared" si="12"/>
        <v>878.37</v>
      </c>
      <c r="W24" s="443" t="e">
        <f>+R24-#REF!</f>
        <v>#REF!</v>
      </c>
      <c r="X24" s="444" t="e">
        <f>+W24/#REF!</f>
        <v>#REF!</v>
      </c>
      <c r="Y24" s="445" t="e">
        <f t="shared" si="1"/>
        <v>#REF!</v>
      </c>
      <c r="Z24" s="445">
        <f t="shared" si="2"/>
        <v>3194.7299999999996</v>
      </c>
      <c r="AA24" s="445">
        <f t="shared" si="3"/>
        <v>-9.9999999983992893E-3</v>
      </c>
      <c r="AC24" s="408">
        <f>C20*0.5112</f>
        <v>8859.6429840000001</v>
      </c>
    </row>
    <row r="25" spans="1:34" ht="18">
      <c r="A25" s="446" t="s">
        <v>31</v>
      </c>
      <c r="B25" s="438">
        <v>25</v>
      </c>
      <c r="C25" s="454">
        <v>22.25</v>
      </c>
      <c r="D25" s="439">
        <v>40.221400000000003</v>
      </c>
      <c r="E25" s="439">
        <v>12.47</v>
      </c>
      <c r="F25" s="439">
        <f>+'[10]DGVCL 0607'!D243</f>
        <v>0</v>
      </c>
      <c r="G25" s="439">
        <f>+'[10]DGVCL 0607'!E243</f>
        <v>0.04</v>
      </c>
      <c r="H25" s="439">
        <f>+'[10]DGVCL 0607'!F243</f>
        <v>0.97830000000000006</v>
      </c>
      <c r="I25" s="439">
        <f>+'[10]DGVCL 0607'!G243</f>
        <v>0.188</v>
      </c>
      <c r="J25" s="439">
        <f>+I25+H25+G25+F25</f>
        <v>1.2063000000000001</v>
      </c>
      <c r="K25" s="439">
        <f>+'[10]DGVCL 0607'!I243</f>
        <v>0.41164417999999997</v>
      </c>
      <c r="L25" s="439">
        <v>12.02</v>
      </c>
      <c r="M25" s="464">
        <f>12.47</f>
        <v>12.47</v>
      </c>
      <c r="N25" s="440"/>
      <c r="O25" s="440"/>
      <c r="P25" s="440"/>
      <c r="Q25" s="440"/>
      <c r="R25" s="441">
        <f>SUM(M25:Q25)</f>
        <v>12.47</v>
      </c>
      <c r="S25" s="442">
        <f>+'[10]QTR 0708'!I245</f>
        <v>1.915011045</v>
      </c>
      <c r="T25" s="443">
        <f>+'[10]QTR 0708'!J245</f>
        <v>1.6034110450000001</v>
      </c>
      <c r="U25" s="443">
        <f>+'[10]QTR 0708'!K245</f>
        <v>1.465411045</v>
      </c>
      <c r="V25" s="443">
        <f>+'[10]QTR 0708'!L245</f>
        <v>1.7791110450000001</v>
      </c>
      <c r="W25" s="443" t="e">
        <f>+R25-#REF!</f>
        <v>#REF!</v>
      </c>
      <c r="X25" s="444" t="e">
        <f>+W25/#REF!</f>
        <v>#REF!</v>
      </c>
      <c r="Y25" s="445">
        <f t="shared" si="1"/>
        <v>-28.201400000000003</v>
      </c>
      <c r="Z25" s="445">
        <f t="shared" si="2"/>
        <v>0.45000000000000107</v>
      </c>
      <c r="AA25" s="445">
        <f t="shared" si="3"/>
        <v>0</v>
      </c>
    </row>
    <row r="26" spans="1:34" ht="25.5" customHeight="1">
      <c r="A26" s="446" t="s">
        <v>1335</v>
      </c>
      <c r="B26" s="438">
        <v>26</v>
      </c>
      <c r="C26" s="454">
        <v>0</v>
      </c>
      <c r="D26" s="439">
        <v>0.16289999999999999</v>
      </c>
      <c r="E26" s="439">
        <v>0</v>
      </c>
      <c r="F26" s="439">
        <f>+'[10]DGVCL 0607'!D253</f>
        <v>6.5689999999999998E-4</v>
      </c>
      <c r="G26" s="439">
        <f>+'[10]DGVCL 0607'!E253</f>
        <v>6.25</v>
      </c>
      <c r="H26" s="439">
        <f>+'[10]DGVCL 0607'!F253</f>
        <v>0.31379999999999997</v>
      </c>
      <c r="I26" s="439">
        <f>+'[10]DGVCL 0607'!G253</f>
        <v>5.4920000000000009</v>
      </c>
      <c r="J26" s="439">
        <f>+I26+H26+G26+F26</f>
        <v>12.056456900000001</v>
      </c>
      <c r="K26" s="439">
        <f>+'[10]DGVCL 0607'!I253</f>
        <v>8.7586666666666674E-4</v>
      </c>
      <c r="L26" s="439">
        <v>0</v>
      </c>
      <c r="M26" s="440"/>
      <c r="N26" s="440"/>
      <c r="O26" s="440"/>
      <c r="P26" s="440"/>
      <c r="Q26" s="440"/>
      <c r="R26" s="441">
        <v>0</v>
      </c>
      <c r="S26" s="442">
        <f>+'[10]QTR 0708'!I253</f>
        <v>0</v>
      </c>
      <c r="T26" s="443">
        <f>+'[10]QTR 0708'!J253</f>
        <v>7.8143379333333325</v>
      </c>
      <c r="U26" s="443">
        <f>+'[10]QTR 0708'!K253</f>
        <v>2.7294379333333336</v>
      </c>
      <c r="V26" s="443">
        <f>+'[10]QTR 0708'!L253</f>
        <v>0</v>
      </c>
      <c r="W26" s="443" t="e">
        <f>+R26-#REF!</f>
        <v>#REF!</v>
      </c>
      <c r="X26" s="444" t="e">
        <f>+W26/#REF!</f>
        <v>#REF!</v>
      </c>
      <c r="Y26" s="445">
        <f t="shared" si="1"/>
        <v>-0.16289999999999999</v>
      </c>
      <c r="Z26" s="445">
        <f t="shared" si="2"/>
        <v>0</v>
      </c>
      <c r="AA26" s="445">
        <f t="shared" si="3"/>
        <v>0</v>
      </c>
      <c r="AC26" s="445">
        <f>AC24+C20</f>
        <v>26190.712983999998</v>
      </c>
      <c r="AH26" s="408">
        <v>84.04</v>
      </c>
    </row>
    <row r="27" spans="1:34" ht="18">
      <c r="A27" s="446" t="s">
        <v>1336</v>
      </c>
      <c r="B27" s="438"/>
      <c r="C27" s="454"/>
      <c r="D27" s="439"/>
      <c r="E27" s="439"/>
      <c r="F27" s="439"/>
      <c r="G27" s="439"/>
      <c r="H27" s="439"/>
      <c r="I27" s="439"/>
      <c r="J27" s="439"/>
      <c r="K27" s="439"/>
      <c r="L27" s="439"/>
      <c r="M27" s="440"/>
      <c r="N27" s="440"/>
      <c r="O27" s="440"/>
      <c r="P27" s="440"/>
      <c r="Q27" s="440"/>
      <c r="R27" s="441"/>
      <c r="S27" s="442"/>
      <c r="T27" s="443"/>
      <c r="U27" s="443"/>
      <c r="V27" s="443"/>
      <c r="W27" s="443"/>
      <c r="X27" s="444"/>
      <c r="Y27" s="445">
        <f t="shared" si="1"/>
        <v>0</v>
      </c>
      <c r="Z27" s="445">
        <f t="shared" si="2"/>
        <v>0</v>
      </c>
      <c r="AA27" s="445">
        <f t="shared" si="3"/>
        <v>0</v>
      </c>
      <c r="AH27" s="408">
        <v>0.12</v>
      </c>
    </row>
    <row r="28" spans="1:34" ht="18">
      <c r="A28" s="465" t="s">
        <v>32</v>
      </c>
      <c r="B28" s="438"/>
      <c r="C28" s="449">
        <f>+ROUND((C24+C25+C26+C27),2)</f>
        <v>17274.07</v>
      </c>
      <c r="D28" s="449" t="e">
        <f>+ROUND((D24+D25+D26+D27),2)</f>
        <v>#REF!</v>
      </c>
      <c r="E28" s="449">
        <f>+ROUND((E24+E25+E26+E27),2)</f>
        <v>20169.63</v>
      </c>
      <c r="F28" s="449">
        <f t="shared" ref="F28:V28" si="13">+ROUND((F24+F25+F26+F27),2)</f>
        <v>8.7200000000000006</v>
      </c>
      <c r="G28" s="449">
        <f t="shared" si="13"/>
        <v>1299.02</v>
      </c>
      <c r="H28" s="449">
        <f t="shared" si="13"/>
        <v>602.49</v>
      </c>
      <c r="I28" s="449">
        <f t="shared" si="13"/>
        <v>519.01</v>
      </c>
      <c r="J28" s="449">
        <f t="shared" si="13"/>
        <v>2429.25</v>
      </c>
      <c r="K28" s="449">
        <f t="shared" si="13"/>
        <v>79.849999999999994</v>
      </c>
      <c r="L28" s="449">
        <f t="shared" si="13"/>
        <v>23132.68</v>
      </c>
      <c r="M28" s="450">
        <f t="shared" si="13"/>
        <v>116.78</v>
      </c>
      <c r="N28" s="450">
        <f t="shared" si="13"/>
        <v>5363.75</v>
      </c>
      <c r="O28" s="450">
        <f t="shared" si="13"/>
        <v>6965.07</v>
      </c>
      <c r="P28" s="450">
        <f t="shared" si="13"/>
        <v>6308.29</v>
      </c>
      <c r="Q28" s="450">
        <f t="shared" si="13"/>
        <v>7573.96</v>
      </c>
      <c r="R28" s="451">
        <f t="shared" si="13"/>
        <v>26327.86</v>
      </c>
      <c r="S28" s="452">
        <f t="shared" si="13"/>
        <v>921.07</v>
      </c>
      <c r="T28" s="453">
        <f t="shared" si="13"/>
        <v>914.3</v>
      </c>
      <c r="U28" s="453">
        <f t="shared" si="13"/>
        <v>896.65</v>
      </c>
      <c r="V28" s="453">
        <f t="shared" si="13"/>
        <v>880.15</v>
      </c>
      <c r="W28" s="443" t="e">
        <f>+R28-#REF!</f>
        <v>#REF!</v>
      </c>
      <c r="X28" s="444" t="e">
        <f>+W28/#REF!</f>
        <v>#REF!</v>
      </c>
      <c r="Y28" s="445" t="e">
        <f t="shared" si="1"/>
        <v>#REF!</v>
      </c>
      <c r="Z28" s="445">
        <f t="shared" si="2"/>
        <v>3195.1800000000003</v>
      </c>
      <c r="AA28" s="445">
        <f t="shared" si="3"/>
        <v>-1.0000000002037268E-2</v>
      </c>
      <c r="AH28" s="408">
        <v>17.03</v>
      </c>
    </row>
    <row r="29" spans="1:34" ht="18">
      <c r="A29" s="466" t="s">
        <v>1337</v>
      </c>
      <c r="B29" s="438"/>
      <c r="C29" s="449">
        <f>+ROUND((C12-C28),2)</f>
        <v>121.89</v>
      </c>
      <c r="D29" s="449" t="e">
        <f>+ROUND((D12-D28),2)</f>
        <v>#REF!</v>
      </c>
      <c r="E29" s="449">
        <f>+ROUND((E12-E28),2)</f>
        <v>110.14</v>
      </c>
      <c r="F29" s="449">
        <f t="shared" ref="F29:V29" si="14">+ROUND((F12-F28),2)</f>
        <v>47.82</v>
      </c>
      <c r="G29" s="449">
        <f t="shared" si="14"/>
        <v>18.39</v>
      </c>
      <c r="H29" s="449">
        <f t="shared" si="14"/>
        <v>-61.82</v>
      </c>
      <c r="I29" s="449">
        <f t="shared" si="14"/>
        <v>-6.88</v>
      </c>
      <c r="J29" s="449">
        <f t="shared" si="14"/>
        <v>-2.5099999999999998</v>
      </c>
      <c r="K29" s="449">
        <f t="shared" si="14"/>
        <v>-11.28</v>
      </c>
      <c r="L29" s="449">
        <f t="shared" si="14"/>
        <v>-1617.39</v>
      </c>
      <c r="M29" s="450"/>
      <c r="N29" s="450"/>
      <c r="O29" s="450"/>
      <c r="P29" s="450"/>
      <c r="Q29" s="450"/>
      <c r="R29" s="451">
        <f t="shared" si="14"/>
        <v>-708.91</v>
      </c>
      <c r="S29" s="452">
        <f t="shared" si="14"/>
        <v>-13.19</v>
      </c>
      <c r="T29" s="453">
        <f t="shared" si="14"/>
        <v>31.64</v>
      </c>
      <c r="U29" s="453">
        <f t="shared" si="14"/>
        <v>-14.32</v>
      </c>
      <c r="V29" s="453">
        <f t="shared" si="14"/>
        <v>21.51</v>
      </c>
      <c r="W29" s="443" t="e">
        <f>+R29-#REF!</f>
        <v>#REF!</v>
      </c>
      <c r="X29" s="444" t="e">
        <f>+W29/#REF!</f>
        <v>#REF!</v>
      </c>
      <c r="Y29" s="445" t="e">
        <f t="shared" si="1"/>
        <v>#REF!</v>
      </c>
      <c r="Z29" s="445">
        <f t="shared" si="2"/>
        <v>908.48000000000013</v>
      </c>
      <c r="AA29" s="445">
        <f t="shared" si="3"/>
        <v>708.91</v>
      </c>
      <c r="AB29" s="445">
        <f>R29-32.9</f>
        <v>-741.81</v>
      </c>
      <c r="AH29" s="408">
        <f>AH26+AH27+AH28</f>
        <v>101.19000000000001</v>
      </c>
    </row>
    <row r="30" spans="1:34" ht="18">
      <c r="A30" s="446" t="s">
        <v>1338</v>
      </c>
      <c r="B30" s="438">
        <v>27</v>
      </c>
      <c r="C30" s="454">
        <v>22.69</v>
      </c>
      <c r="D30" s="439">
        <v>6.5</v>
      </c>
      <c r="E30" s="441">
        <f>E29*17.42%</f>
        <v>19.186388000000001</v>
      </c>
      <c r="F30" s="439">
        <f>+'[10]DGVCL 0607'!D264</f>
        <v>0</v>
      </c>
      <c r="G30" s="439">
        <f>+'[10]DGVCL 0607'!E264</f>
        <v>0</v>
      </c>
      <c r="H30" s="439">
        <f>+'[10]DGVCL 0607'!F264</f>
        <v>0</v>
      </c>
      <c r="I30" s="439">
        <f>+'[10]DGVCL 0607'!G264</f>
        <v>0</v>
      </c>
      <c r="J30" s="439">
        <f>+I30+H30+G30+F30</f>
        <v>0</v>
      </c>
      <c r="K30" s="439">
        <f>+'[10]DGVCL 0607'!I264</f>
        <v>0</v>
      </c>
      <c r="L30" s="439">
        <f>0*17.42%</f>
        <v>0</v>
      </c>
      <c r="M30" s="440"/>
      <c r="N30" s="440"/>
      <c r="O30" s="440"/>
      <c r="P30" s="440"/>
      <c r="Q30" s="440"/>
      <c r="R30" s="441">
        <f>0*17.42%</f>
        <v>0</v>
      </c>
      <c r="S30" s="442">
        <f>+'[10]QTR 0708'!I264</f>
        <v>0.62</v>
      </c>
      <c r="T30" s="443">
        <f>+'[10]QTR 0708'!J264</f>
        <v>4.5199999999999996</v>
      </c>
      <c r="U30" s="443">
        <f>+'[10]QTR 0708'!K264</f>
        <v>0.62</v>
      </c>
      <c r="V30" s="443">
        <f>+'[10]QTR 0708'!L264</f>
        <v>4.22</v>
      </c>
      <c r="W30" s="443" t="e">
        <f>+R30-#REF!</f>
        <v>#REF!</v>
      </c>
      <c r="X30" s="444" t="e">
        <f>+W30/#REF!</f>
        <v>#REF!</v>
      </c>
      <c r="Y30" s="445">
        <f t="shared" si="1"/>
        <v>-6.5</v>
      </c>
      <c r="Z30" s="445">
        <f t="shared" si="2"/>
        <v>0</v>
      </c>
      <c r="AA30" s="445">
        <f t="shared" si="3"/>
        <v>0</v>
      </c>
    </row>
    <row r="31" spans="1:34" ht="18">
      <c r="A31" s="466" t="s">
        <v>1339</v>
      </c>
      <c r="B31" s="438"/>
      <c r="C31" s="449">
        <f>+ROUND((C29-C30),2)</f>
        <v>99.2</v>
      </c>
      <c r="D31" s="449" t="e">
        <f t="shared" ref="D31:K31" si="15">+ROUND((D29-D30),2)</f>
        <v>#REF!</v>
      </c>
      <c r="E31" s="449">
        <f>+ROUND((E29-E30),2)</f>
        <v>90.95</v>
      </c>
      <c r="F31" s="449">
        <f t="shared" si="15"/>
        <v>47.82</v>
      </c>
      <c r="G31" s="449">
        <f t="shared" si="15"/>
        <v>18.39</v>
      </c>
      <c r="H31" s="449">
        <f t="shared" si="15"/>
        <v>-61.82</v>
      </c>
      <c r="I31" s="449">
        <f t="shared" si="15"/>
        <v>-6.88</v>
      </c>
      <c r="J31" s="449">
        <f t="shared" si="15"/>
        <v>-2.5099999999999998</v>
      </c>
      <c r="K31" s="449">
        <f t="shared" si="15"/>
        <v>-11.28</v>
      </c>
      <c r="L31" s="449">
        <f>+ROUND((L29-L30),2)</f>
        <v>-1617.39</v>
      </c>
      <c r="M31" s="450"/>
      <c r="N31" s="450"/>
      <c r="O31" s="450"/>
      <c r="P31" s="450"/>
      <c r="Q31" s="450"/>
      <c r="R31" s="451">
        <f>+ROUND((R29-R30),2)</f>
        <v>-708.91</v>
      </c>
      <c r="S31" s="452">
        <f>+ROUND((S29-S30),2)</f>
        <v>-13.81</v>
      </c>
      <c r="T31" s="453">
        <f>+ROUND((T29-T30),2)</f>
        <v>27.12</v>
      </c>
      <c r="U31" s="453">
        <f>+ROUND((U29-U30),2)</f>
        <v>-14.94</v>
      </c>
      <c r="V31" s="453">
        <f>+ROUND((V29-V30),2)</f>
        <v>17.29</v>
      </c>
      <c r="W31" s="443" t="e">
        <f>+R31-#REF!</f>
        <v>#REF!</v>
      </c>
      <c r="X31" s="444" t="e">
        <f>+W31/#REF!</f>
        <v>#REF!</v>
      </c>
      <c r="Y31" s="445" t="e">
        <f t="shared" si="1"/>
        <v>#REF!</v>
      </c>
      <c r="Z31" s="445">
        <f t="shared" si="2"/>
        <v>908.48000000000013</v>
      </c>
      <c r="AA31" s="445">
        <f t="shared" si="3"/>
        <v>708.91</v>
      </c>
    </row>
    <row r="32" spans="1:34" ht="18">
      <c r="A32" s="437" t="s">
        <v>1340</v>
      </c>
      <c r="B32" s="438">
        <v>28</v>
      </c>
      <c r="C32" s="454">
        <v>-22.71</v>
      </c>
      <c r="D32" s="454">
        <v>-3.57</v>
      </c>
      <c r="E32" s="439">
        <v>-22.71</v>
      </c>
      <c r="F32" s="439">
        <f>+'[10]DGVCL 0607'!D284</f>
        <v>-0.25543690000000002</v>
      </c>
      <c r="G32" s="439">
        <f>+'[10]DGVCL 0607'!E284</f>
        <v>-0.01</v>
      </c>
      <c r="H32" s="439">
        <f>+'[10]DGVCL 0607'!F284</f>
        <v>0</v>
      </c>
      <c r="I32" s="439">
        <f>+'[10]DGVCL 0607'!G284</f>
        <v>8.0000000000000015E-4</v>
      </c>
      <c r="J32" s="439">
        <f>+I32+H32+G32+F32</f>
        <v>-0.26463690000000001</v>
      </c>
      <c r="K32" s="439">
        <f>+'[10]DGVCL 0607'!I284</f>
        <v>-0.34058253333333333</v>
      </c>
      <c r="L32" s="439">
        <v>-22.71</v>
      </c>
      <c r="M32" s="440"/>
      <c r="N32" s="440"/>
      <c r="O32" s="440"/>
      <c r="P32" s="440"/>
      <c r="Q32" s="440"/>
      <c r="R32" s="439">
        <v>-22.71</v>
      </c>
      <c r="S32" s="442">
        <f>+'[10]QTR 0708'!I285</f>
        <v>-7.7502914999999978E-2</v>
      </c>
      <c r="T32" s="443">
        <f>+'[10]QTR 0708'!J285</f>
        <v>-7.6902914999999974E-2</v>
      </c>
      <c r="U32" s="443">
        <f>+'[10]QTR 0708'!K285</f>
        <v>-7.9402914999999991E-2</v>
      </c>
      <c r="V32" s="443">
        <f>+'[10]QTR 0708'!L285</f>
        <v>-7.7802914999999986E-2</v>
      </c>
      <c r="W32" s="443" t="e">
        <f>+R32-#REF!</f>
        <v>#REF!</v>
      </c>
      <c r="X32" s="444" t="e">
        <f>+W32/#REF!</f>
        <v>#REF!</v>
      </c>
      <c r="Y32" s="445">
        <f t="shared" si="1"/>
        <v>-19.14</v>
      </c>
      <c r="Z32" s="445">
        <f t="shared" si="2"/>
        <v>0</v>
      </c>
      <c r="AA32" s="445">
        <f t="shared" si="3"/>
        <v>22.71</v>
      </c>
    </row>
    <row r="33" spans="1:27" ht="18">
      <c r="A33" s="430" t="s">
        <v>1341</v>
      </c>
      <c r="B33" s="438"/>
      <c r="C33" s="449">
        <f>C31+C32</f>
        <v>76.490000000000009</v>
      </c>
      <c r="D33" s="449" t="e">
        <f t="shared" ref="D33:R33" si="16">D31+D32</f>
        <v>#REF!</v>
      </c>
      <c r="E33" s="449">
        <f t="shared" si="16"/>
        <v>68.240000000000009</v>
      </c>
      <c r="F33" s="449">
        <f t="shared" si="16"/>
        <v>47.564563100000001</v>
      </c>
      <c r="G33" s="449">
        <f t="shared" si="16"/>
        <v>18.38</v>
      </c>
      <c r="H33" s="449">
        <f t="shared" si="16"/>
        <v>-61.82</v>
      </c>
      <c r="I33" s="449">
        <f t="shared" si="16"/>
        <v>-6.8792</v>
      </c>
      <c r="J33" s="449">
        <f t="shared" si="16"/>
        <v>-2.7746369</v>
      </c>
      <c r="K33" s="449">
        <f t="shared" si="16"/>
        <v>-11.620582533333332</v>
      </c>
      <c r="L33" s="449">
        <f t="shared" si="16"/>
        <v>-1640.1000000000001</v>
      </c>
      <c r="M33" s="449">
        <f t="shared" si="16"/>
        <v>0</v>
      </c>
      <c r="N33" s="449">
        <f t="shared" si="16"/>
        <v>0</v>
      </c>
      <c r="O33" s="449">
        <f t="shared" si="16"/>
        <v>0</v>
      </c>
      <c r="P33" s="449">
        <f t="shared" si="16"/>
        <v>0</v>
      </c>
      <c r="Q33" s="449">
        <f t="shared" si="16"/>
        <v>0</v>
      </c>
      <c r="R33" s="449">
        <f t="shared" si="16"/>
        <v>-731.62</v>
      </c>
      <c r="S33" s="452">
        <f>+ROUND((S31+S32),2)</f>
        <v>-13.89</v>
      </c>
      <c r="T33" s="453">
        <f>+ROUND((T31+T32),2)</f>
        <v>27.04</v>
      </c>
      <c r="U33" s="453">
        <f>+ROUND((U31+U32),2)</f>
        <v>-15.02</v>
      </c>
      <c r="V33" s="453">
        <f>+ROUND((V31+V32),2)</f>
        <v>17.21</v>
      </c>
      <c r="W33" s="443" t="e">
        <f>+R33-#REF!</f>
        <v>#REF!</v>
      </c>
      <c r="X33" s="444" t="e">
        <f>+W33/#REF!</f>
        <v>#REF!</v>
      </c>
      <c r="Y33" s="445" t="e">
        <f t="shared" si="1"/>
        <v>#REF!</v>
      </c>
      <c r="Z33" s="445">
        <f t="shared" si="2"/>
        <v>908.48000000000013</v>
      </c>
      <c r="AA33" s="445">
        <f t="shared" si="3"/>
        <v>731.62</v>
      </c>
    </row>
    <row r="34" spans="1:27" ht="18">
      <c r="A34" s="430" t="s">
        <v>1342</v>
      </c>
      <c r="B34" s="467"/>
      <c r="C34" s="449">
        <f>+C33+C18</f>
        <v>442.28187086999992</v>
      </c>
      <c r="D34" s="449" t="e">
        <f>+D33+D18</f>
        <v>#REF!</v>
      </c>
      <c r="E34" s="449">
        <f>+E33+E18</f>
        <v>466.2</v>
      </c>
      <c r="F34" s="449">
        <f t="shared" ref="F34:K34" si="17">+F33+F18</f>
        <v>47.571988294000001</v>
      </c>
      <c r="G34" s="449">
        <f t="shared" si="17"/>
        <v>26.39</v>
      </c>
      <c r="H34" s="449">
        <f t="shared" si="17"/>
        <v>-49.612700000000004</v>
      </c>
      <c r="I34" s="449">
        <f t="shared" si="17"/>
        <v>2.1995000000000013</v>
      </c>
      <c r="J34" s="449">
        <f t="shared" si="17"/>
        <v>26.528788293999998</v>
      </c>
      <c r="K34" s="449">
        <f t="shared" si="17"/>
        <v>-11.604528544064133</v>
      </c>
      <c r="L34" s="449">
        <f>+L33+L18</f>
        <v>-1242.136859515118</v>
      </c>
      <c r="M34" s="450"/>
      <c r="N34" s="450"/>
      <c r="O34" s="450"/>
      <c r="P34" s="450"/>
      <c r="Q34" s="450"/>
      <c r="R34" s="451">
        <f>+R33+R18</f>
        <v>-293.6265436200282</v>
      </c>
      <c r="S34" s="452">
        <f>+S33+S18</f>
        <v>-0.64842997568000094</v>
      </c>
      <c r="T34" s="453">
        <f>+T33+T18</f>
        <v>40.011244629751999</v>
      </c>
      <c r="U34" s="453">
        <f>+U33+U18</f>
        <v>-1.9060125121000002</v>
      </c>
      <c r="V34" s="453">
        <f>+V33+V18</f>
        <v>30.544083539627998</v>
      </c>
      <c r="W34" s="443" t="e">
        <f>+R34-#REF!</f>
        <v>#REF!</v>
      </c>
      <c r="X34" s="444" t="e">
        <f>+W34/#REF!</f>
        <v>#REF!</v>
      </c>
      <c r="Y34" s="445" t="e">
        <f t="shared" si="1"/>
        <v>#REF!</v>
      </c>
      <c r="Z34" s="445">
        <f t="shared" si="2"/>
        <v>948.51031589508978</v>
      </c>
      <c r="AA34" s="445">
        <f t="shared" si="3"/>
        <v>293.6265436200282</v>
      </c>
    </row>
    <row r="35" spans="1:27" ht="18" hidden="1">
      <c r="A35" s="430"/>
      <c r="B35" s="467"/>
      <c r="C35" s="468"/>
      <c r="D35" s="469"/>
      <c r="E35" s="469"/>
      <c r="F35" s="469"/>
      <c r="G35" s="469"/>
      <c r="H35" s="469"/>
      <c r="I35" s="469"/>
      <c r="J35" s="469"/>
      <c r="K35" s="469"/>
      <c r="L35" s="469"/>
      <c r="M35" s="467"/>
      <c r="N35" s="467"/>
      <c r="O35" s="467"/>
      <c r="P35" s="467"/>
      <c r="Q35" s="467"/>
      <c r="R35" s="470"/>
      <c r="S35" s="471"/>
      <c r="T35" s="472"/>
      <c r="U35" s="472"/>
      <c r="V35" s="472"/>
      <c r="W35" s="472"/>
      <c r="X35" s="472"/>
    </row>
    <row r="36" spans="1:27" ht="23.25" customHeight="1">
      <c r="A36" s="473" t="s">
        <v>1343</v>
      </c>
      <c r="B36" s="467"/>
      <c r="C36" s="474">
        <f>'[9]Annex-C Power Purchase'!C16</f>
        <v>25514</v>
      </c>
      <c r="D36" s="474">
        <v>12819</v>
      </c>
      <c r="E36" s="474">
        <v>27988</v>
      </c>
      <c r="F36" s="474"/>
      <c r="G36" s="474">
        <f>+'[10]POWER PUR 0708'!C7</f>
        <v>3794.3869551583571</v>
      </c>
      <c r="H36" s="474">
        <f>+'[10]POWER PUR 0708'!D7</f>
        <v>1681.5616180620884</v>
      </c>
      <c r="I36" s="474">
        <f>+'[10]POWER PUR 0708'!E7</f>
        <v>1489.7250966865267</v>
      </c>
      <c r="J36" s="474">
        <f>+I36+H36+G36</f>
        <v>6965.6736699069716</v>
      </c>
      <c r="K36" s="474"/>
      <c r="L36" s="474">
        <f>'[9]Annex-C Power Purchase'!D16</f>
        <v>29679.077720927307</v>
      </c>
      <c r="M36" s="475"/>
      <c r="N36" s="475">
        <f>'[9]Annex-C Power Purchase'!I16</f>
        <v>6788.6897611047116</v>
      </c>
      <c r="O36" s="475">
        <f>'[9]Annex-C Power Purchase'!J16</f>
        <v>8810.894792139934</v>
      </c>
      <c r="P36" s="475">
        <f>'[9]Annex-C Power Purchase'!K16</f>
        <v>7880.7236543522904</v>
      </c>
      <c r="Q36" s="475">
        <f>'[9]Annex-C Power Purchase'!L16</f>
        <v>9681.3774748950509</v>
      </c>
      <c r="R36" s="476">
        <f>'[9]Annex-C Power Purchase'!M16</f>
        <v>33161.685682491989</v>
      </c>
      <c r="S36" s="452">
        <f>+'[10]POWER PUR 0708'!T7</f>
        <v>2560.7026663502729</v>
      </c>
      <c r="T36" s="453">
        <f>+'[10]POWER PUR 0708'!U7</f>
        <v>2551.082697147257</v>
      </c>
      <c r="U36" s="453">
        <f>+'[10]POWER PUR 0708'!V7</f>
        <v>2512.7467106499571</v>
      </c>
      <c r="V36" s="453">
        <f>+'[10]POWER PUR 0708'!W7</f>
        <v>2474.5683718590049</v>
      </c>
      <c r="W36" s="453"/>
      <c r="X36" s="453"/>
    </row>
    <row r="37" spans="1:27" ht="23.25" customHeight="1">
      <c r="A37" s="473" t="s">
        <v>1344</v>
      </c>
      <c r="B37" s="467"/>
      <c r="C37" s="474">
        <f>'[9]Annex-C Power Purchase'!C20</f>
        <v>24748</v>
      </c>
      <c r="D37" s="474">
        <v>11337</v>
      </c>
      <c r="E37" s="474">
        <v>26502</v>
      </c>
      <c r="F37" s="474"/>
      <c r="G37" s="474">
        <f>+'[10]POWER PUR 0708'!C15</f>
        <v>3132.77</v>
      </c>
      <c r="H37" s="474">
        <f>+'[10]POWER PUR 0708'!D15</f>
        <v>1291.83</v>
      </c>
      <c r="I37" s="474">
        <f>+'[10]POWER PUR 0708'!E15</f>
        <v>1155.1400000000001</v>
      </c>
      <c r="J37" s="474">
        <f>+'[10]POWER PUR 0708'!F15</f>
        <v>5579.74</v>
      </c>
      <c r="K37" s="474"/>
      <c r="L37" s="474">
        <f>'[9]Annex-C Power Purchase'!D20</f>
        <v>28107.077720927307</v>
      </c>
      <c r="M37" s="475"/>
      <c r="N37" s="475">
        <f>'[9]Annex-C Power Purchase'!I20</f>
        <v>6588.8104511043439</v>
      </c>
      <c r="O37" s="475">
        <f>'[9]Annex-C Power Purchase'!J20</f>
        <v>8210.8219462744182</v>
      </c>
      <c r="P37" s="475">
        <f>'[9]Annex-C Power Purchase'!K20</f>
        <v>7421.1237376689869</v>
      </c>
      <c r="Q37" s="475">
        <f>'[9]Annex-C Power Purchase'!L20</f>
        <v>9186.6782236754025</v>
      </c>
      <c r="R37" s="476">
        <f>'[9]Annex-C Power Purchase'!M20</f>
        <v>31407.434358723149</v>
      </c>
      <c r="S37" s="452">
        <f>+'[10]POWER PUR 0708'!T15</f>
        <v>2088.8408471420339</v>
      </c>
      <c r="T37" s="453">
        <f>+'[10]POWER PUR 0708'!U15</f>
        <v>2087.2009711636192</v>
      </c>
      <c r="U37" s="453">
        <f>+'[10]POWER PUR 0708'!V15</f>
        <v>2048.4220592654688</v>
      </c>
      <c r="V37" s="453">
        <f>+'[10]POWER PUR 0708'!W15</f>
        <v>2023.6965428197202</v>
      </c>
      <c r="W37" s="453"/>
      <c r="X37" s="453"/>
    </row>
    <row r="38" spans="1:27" ht="23.25" customHeight="1">
      <c r="A38" s="473" t="s">
        <v>1345</v>
      </c>
      <c r="B38" s="467"/>
      <c r="C38" s="474">
        <f>'[9]Annex-C Power Purchase'!C19</f>
        <v>766</v>
      </c>
      <c r="D38" s="474">
        <v>1482</v>
      </c>
      <c r="E38" s="474">
        <v>1486</v>
      </c>
      <c r="F38" s="474"/>
      <c r="G38" s="474">
        <f>+G36-G37</f>
        <v>661.61695515835709</v>
      </c>
      <c r="H38" s="474">
        <f>+H36-H37</f>
        <v>389.7316180620885</v>
      </c>
      <c r="I38" s="474">
        <f>+I36-I37</f>
        <v>334.58509668652664</v>
      </c>
      <c r="J38" s="474">
        <f>+J36-J37</f>
        <v>1385.9336699069718</v>
      </c>
      <c r="K38" s="474"/>
      <c r="L38" s="474">
        <f>+L36-L37</f>
        <v>1572</v>
      </c>
      <c r="M38" s="475"/>
      <c r="N38" s="475">
        <f t="shared" ref="N38:V38" si="18">+N36-N37</f>
        <v>199.8793100003677</v>
      </c>
      <c r="O38" s="475">
        <f t="shared" si="18"/>
        <v>600.07284586551577</v>
      </c>
      <c r="P38" s="475">
        <f t="shared" si="18"/>
        <v>459.59991668330349</v>
      </c>
      <c r="Q38" s="475">
        <f t="shared" si="18"/>
        <v>494.69925121964843</v>
      </c>
      <c r="R38" s="476">
        <f t="shared" si="18"/>
        <v>1754.2513237688399</v>
      </c>
      <c r="S38" s="452">
        <f t="shared" si="18"/>
        <v>471.86181920823901</v>
      </c>
      <c r="T38" s="453">
        <f t="shared" si="18"/>
        <v>463.88172598363781</v>
      </c>
      <c r="U38" s="453">
        <f t="shared" si="18"/>
        <v>464.32465138448833</v>
      </c>
      <c r="V38" s="453">
        <f t="shared" si="18"/>
        <v>450.87182903928465</v>
      </c>
      <c r="W38" s="453"/>
      <c r="X38" s="453"/>
    </row>
    <row r="39" spans="1:27" ht="23.25" customHeight="1">
      <c r="A39" s="473" t="s">
        <v>1346</v>
      </c>
      <c r="B39" s="467"/>
      <c r="C39" s="477">
        <f>+C38/C36*100</f>
        <v>3.0022732617386536</v>
      </c>
      <c r="D39" s="477">
        <f t="shared" ref="D39:K39" si="19">+D38/D36*100</f>
        <v>11.560964193774865</v>
      </c>
      <c r="E39" s="477">
        <f>(+E38/E36*100)-0.01</f>
        <v>5.2994183221380595</v>
      </c>
      <c r="F39" s="477" t="e">
        <f t="shared" si="19"/>
        <v>#DIV/0!</v>
      </c>
      <c r="G39" s="477">
        <f t="shared" si="19"/>
        <v>17.436728593505951</v>
      </c>
      <c r="H39" s="477">
        <f t="shared" si="19"/>
        <v>23.176766993006996</v>
      </c>
      <c r="I39" s="477">
        <f t="shared" si="19"/>
        <v>22.459519372447765</v>
      </c>
      <c r="J39" s="477">
        <f t="shared" si="19"/>
        <v>19.8966207086971</v>
      </c>
      <c r="K39" s="477" t="e">
        <f t="shared" si="19"/>
        <v>#DIV/0!</v>
      </c>
      <c r="L39" s="477">
        <f>+L38/L36*100</f>
        <v>5.2966605457943583</v>
      </c>
      <c r="M39" s="478"/>
      <c r="N39" s="478">
        <f>'[9]Annex-C Power Purchase'!I17*100</f>
        <v>2.93</v>
      </c>
      <c r="O39" s="478">
        <f>'[9]Annex-C Power Purchase'!J17*100</f>
        <v>6.8000000000000007</v>
      </c>
      <c r="P39" s="478">
        <f>'[9]Annex-C Power Purchase'!K17*100</f>
        <v>5.82</v>
      </c>
      <c r="Q39" s="478">
        <f>'[9]Annex-C Power Purchase'!L17*100</f>
        <v>5.0999999999999996</v>
      </c>
      <c r="R39" s="479">
        <f>(+R38/R36*100-0)-0.01</f>
        <v>5.279994424785869</v>
      </c>
      <c r="S39" s="480">
        <f>+S38/S36</f>
        <v>0.18427044475287552</v>
      </c>
      <c r="T39" s="481">
        <f>+T38/T36</f>
        <v>0.18183719661552822</v>
      </c>
      <c r="U39" s="481">
        <f>+U38/U36</f>
        <v>0.18478768648527422</v>
      </c>
      <c r="V39" s="481">
        <f>+V38/V36</f>
        <v>0.18220221116807125</v>
      </c>
      <c r="W39" s="481"/>
      <c r="X39" s="481"/>
    </row>
    <row r="40" spans="1:27" ht="24.75" customHeight="1">
      <c r="A40" s="473" t="s">
        <v>1347</v>
      </c>
      <c r="B40" s="467"/>
      <c r="C40" s="482">
        <f>+C8*10/C37</f>
        <v>6.7739030843211578</v>
      </c>
      <c r="D40" s="439">
        <f>+D8*10/D37</f>
        <v>5.8321899559777721</v>
      </c>
      <c r="E40" s="439">
        <f>+E8*10/E37</f>
        <v>7.4280092068523125</v>
      </c>
      <c r="F40" s="469"/>
      <c r="G40" s="439">
        <f>+G8*10/G37</f>
        <v>4.0997902814442169</v>
      </c>
      <c r="H40" s="439">
        <f>+H8*10/H37</f>
        <v>4.0540705820425291</v>
      </c>
      <c r="I40" s="439">
        <f>+I8*10/I37</f>
        <v>4.2839456689232467</v>
      </c>
      <c r="J40" s="439">
        <f>+J8*10/J37</f>
        <v>4.2009835745034705</v>
      </c>
      <c r="K40" s="469"/>
      <c r="L40" s="439">
        <f>+L8*10/L37</f>
        <v>7.4797701314055605</v>
      </c>
      <c r="M40" s="440"/>
      <c r="N40" s="440">
        <f t="shared" ref="N40:V40" si="20">+N8*10/N37</f>
        <v>7.8058234665774151</v>
      </c>
      <c r="O40" s="440">
        <f t="shared" si="20"/>
        <v>7.6045713392171752</v>
      </c>
      <c r="P40" s="440">
        <f t="shared" si="20"/>
        <v>7.8680545634238683</v>
      </c>
      <c r="Q40" s="440">
        <f t="shared" si="20"/>
        <v>8.557652052216234</v>
      </c>
      <c r="R40" s="441">
        <f t="shared" si="20"/>
        <v>7.9878245341049743</v>
      </c>
      <c r="S40" s="452">
        <f t="shared" si="20"/>
        <v>4.3285769249479413</v>
      </c>
      <c r="T40" s="453">
        <f t="shared" si="20"/>
        <v>4.508099449738646</v>
      </c>
      <c r="U40" s="453">
        <f t="shared" si="20"/>
        <v>4.2865262581478492</v>
      </c>
      <c r="V40" s="453">
        <f t="shared" si="20"/>
        <v>4.4279985556052086</v>
      </c>
      <c r="W40" s="453"/>
      <c r="X40" s="453"/>
    </row>
    <row r="41" spans="1:27" ht="24.75" customHeight="1">
      <c r="A41" s="473" t="s">
        <v>1348</v>
      </c>
      <c r="B41" s="467"/>
      <c r="C41" s="439">
        <f>+C12*10/C37</f>
        <v>7.0292387263617249</v>
      </c>
      <c r="D41" s="439">
        <f>+D12*10/D37</f>
        <v>6.0194495898385814</v>
      </c>
      <c r="E41" s="439">
        <f>+E12*10/E37</f>
        <v>7.6521658742736376</v>
      </c>
      <c r="F41" s="439" t="e">
        <f t="shared" ref="F41:K41" si="21">+F12*10/F37</f>
        <v>#DIV/0!</v>
      </c>
      <c r="G41" s="439">
        <f t="shared" si="21"/>
        <v>4.2052560513539134</v>
      </c>
      <c r="H41" s="439">
        <f t="shared" si="21"/>
        <v>4.1853030197471801</v>
      </c>
      <c r="I41" s="439">
        <f t="shared" si="21"/>
        <v>4.4334885814706437</v>
      </c>
      <c r="J41" s="439">
        <f t="shared" si="21"/>
        <v>4.3491990666231759</v>
      </c>
      <c r="K41" s="439" t="e">
        <f t="shared" si="21"/>
        <v>#DIV/0!</v>
      </c>
      <c r="L41" s="439">
        <f>+L12*10/L37</f>
        <v>7.6547587812662048</v>
      </c>
      <c r="M41" s="440"/>
      <c r="N41" s="440">
        <f>+N12*10/N37</f>
        <v>7.958462364205837</v>
      </c>
      <c r="O41" s="440">
        <f>+O12*10/O37</f>
        <v>7.7020790870632299</v>
      </c>
      <c r="P41" s="440">
        <f>+P12*10/P37</f>
        <v>7.9521245145733825</v>
      </c>
      <c r="Q41" s="440">
        <f>+Q12*10/Q37</f>
        <v>8.6716980893805626</v>
      </c>
      <c r="R41" s="441">
        <f>+R12*10/R37</f>
        <v>8.1569700050601401</v>
      </c>
      <c r="S41" s="452"/>
      <c r="T41" s="453"/>
      <c r="U41" s="453"/>
      <c r="V41" s="453"/>
      <c r="W41" s="453"/>
      <c r="X41" s="453"/>
    </row>
    <row r="42" spans="1:27" ht="24.75" customHeight="1" thickBot="1">
      <c r="A42" s="483" t="s">
        <v>1349</v>
      </c>
      <c r="B42" s="484"/>
      <c r="C42" s="485">
        <f>(+C28+C30+C21)*10/C37</f>
        <v>6.989154679165992</v>
      </c>
      <c r="D42" s="485" t="e">
        <f>(+D28+D30+D32)*10/D37</f>
        <v>#REF!</v>
      </c>
      <c r="E42" s="485">
        <f>(+E28+E30)*10/E37-0.01</f>
        <v>7.6078463466908159</v>
      </c>
      <c r="F42" s="486"/>
      <c r="G42" s="485">
        <f>+G28*10/G37</f>
        <v>4.1465540081142249</v>
      </c>
      <c r="H42" s="485">
        <f>+H28*10/H37</f>
        <v>4.6638489584542855</v>
      </c>
      <c r="I42" s="485">
        <f>+I28*10/I37</f>
        <v>4.4930484616583275</v>
      </c>
      <c r="J42" s="485">
        <f>+J28*10/J37</f>
        <v>4.3536974841121632</v>
      </c>
      <c r="K42" s="486"/>
      <c r="L42" s="485">
        <f>(+L28+L30+L21)*10/L37</f>
        <v>8.2301974718547175</v>
      </c>
      <c r="M42" s="487"/>
      <c r="N42" s="487">
        <f t="shared" ref="N42:V42" si="22">+N28*10/N37</f>
        <v>8.1406955622786015</v>
      </c>
      <c r="O42" s="487">
        <f t="shared" si="22"/>
        <v>8.4827926431413285</v>
      </c>
      <c r="P42" s="487">
        <f t="shared" si="22"/>
        <v>8.5004511755809453</v>
      </c>
      <c r="Q42" s="487">
        <f t="shared" si="22"/>
        <v>8.2445034163499997</v>
      </c>
      <c r="R42" s="488">
        <f>(+R28+R30+R32)*10/R37</f>
        <v>8.3754533081413474</v>
      </c>
      <c r="S42" s="452">
        <f t="shared" si="22"/>
        <v>4.4094790718987245</v>
      </c>
      <c r="T42" s="453">
        <f t="shared" si="22"/>
        <v>4.3805077356315891</v>
      </c>
      <c r="U42" s="453">
        <f t="shared" si="22"/>
        <v>4.3772717440932283</v>
      </c>
      <c r="V42" s="453">
        <f t="shared" si="22"/>
        <v>4.3492192696719334</v>
      </c>
      <c r="W42" s="453"/>
      <c r="X42" s="453"/>
    </row>
    <row r="43" spans="1:27" ht="22.5" customHeight="1">
      <c r="A43" s="1199"/>
      <c r="B43" s="1199"/>
      <c r="C43" s="1199"/>
      <c r="D43" s="1199"/>
      <c r="E43" s="1199"/>
      <c r="F43" s="1199"/>
      <c r="G43" s="1199"/>
      <c r="H43" s="1199"/>
      <c r="I43" s="1199"/>
      <c r="J43" s="1199"/>
      <c r="K43" s="1199"/>
      <c r="L43" s="1199"/>
      <c r="M43" s="1199"/>
      <c r="N43" s="1199"/>
      <c r="O43" s="1199"/>
      <c r="P43" s="1199"/>
      <c r="Q43" s="1199"/>
      <c r="R43" s="1199"/>
    </row>
  </sheetData>
  <mergeCells count="8">
    <mergeCell ref="X5:X6"/>
    <mergeCell ref="A43:R43"/>
    <mergeCell ref="A1:R1"/>
    <mergeCell ref="A3:R3"/>
    <mergeCell ref="F5:J5"/>
    <mergeCell ref="M5:R5"/>
    <mergeCell ref="S5:V5"/>
    <mergeCell ref="W5:W6"/>
  </mergeCells>
  <printOptions horizontalCentered="1" verticalCentered="1"/>
  <pageMargins left="0.67986111111111103" right="0.156944444444444" top="0.68958333333333299" bottom="0.31458333333333299" header="0.53958333333333297" footer="0.31458333333333299"/>
  <pageSetup paperSize="9" scale="60"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D2:J7"/>
  <sheetViews>
    <sheetView zoomScale="90" zoomScaleNormal="90" workbookViewId="0">
      <selection activeCell="AE13" sqref="AE13"/>
    </sheetView>
  </sheetViews>
  <sheetFormatPr defaultRowHeight="15"/>
  <cols>
    <col min="1" max="4" width="9.140625" style="284"/>
    <col min="5" max="9" width="15.85546875" style="284" customWidth="1"/>
    <col min="10" max="16384" width="9.140625" style="284"/>
  </cols>
  <sheetData>
    <row r="2" spans="4:10">
      <c r="E2" s="1211" t="s">
        <v>1152</v>
      </c>
      <c r="F2" s="1211"/>
      <c r="G2" s="1211"/>
      <c r="H2" s="1211"/>
    </row>
    <row r="3" spans="4:10" ht="15.75">
      <c r="E3" s="285" t="s">
        <v>1148</v>
      </c>
      <c r="F3" s="285" t="s">
        <v>1149</v>
      </c>
      <c r="G3" s="285" t="s">
        <v>1147</v>
      </c>
      <c r="H3" s="285" t="s">
        <v>2</v>
      </c>
      <c r="I3" s="285" t="s">
        <v>1107</v>
      </c>
      <c r="J3" s="285" t="s">
        <v>1153</v>
      </c>
    </row>
    <row r="4" spans="4:10" ht="15.75">
      <c r="D4" s="286">
        <v>44743</v>
      </c>
      <c r="E4" s="284">
        <v>2701951035</v>
      </c>
      <c r="F4" s="284">
        <v>2017003365</v>
      </c>
      <c r="G4" s="284">
        <v>1199935908</v>
      </c>
      <c r="H4" s="283">
        <v>2522419031</v>
      </c>
      <c r="I4" s="285">
        <f>SUM(E4:H4)</f>
        <v>8441309339</v>
      </c>
      <c r="J4" s="284" t="s">
        <v>1154</v>
      </c>
    </row>
    <row r="5" spans="4:10" ht="15.75">
      <c r="D5" s="286">
        <v>44774</v>
      </c>
      <c r="E5" s="284">
        <v>2735752220</v>
      </c>
      <c r="F5" s="284">
        <v>1874176763</v>
      </c>
      <c r="G5" s="284">
        <v>1192411409</v>
      </c>
      <c r="H5" s="283">
        <v>2577305971</v>
      </c>
      <c r="I5" s="285">
        <f>SUM(E5:H5)</f>
        <v>8379646363</v>
      </c>
      <c r="J5" s="284" t="s">
        <v>1155</v>
      </c>
    </row>
    <row r="6" spans="4:10" ht="15.75">
      <c r="D6" s="286">
        <v>44805</v>
      </c>
      <c r="E6" s="284">
        <v>3452976988</v>
      </c>
      <c r="F6" s="284">
        <v>2462246061</v>
      </c>
      <c r="G6" s="284">
        <v>1300357107</v>
      </c>
      <c r="H6" s="283">
        <v>2544481439</v>
      </c>
      <c r="I6" s="285">
        <f>SUM(E6:H6)</f>
        <v>9760061595</v>
      </c>
      <c r="J6" s="284" t="s">
        <v>1156</v>
      </c>
    </row>
    <row r="7" spans="4:10" ht="15.75">
      <c r="D7" s="284" t="s">
        <v>1107</v>
      </c>
      <c r="E7" s="285">
        <f>SUM(E4:E6)</f>
        <v>8890680243</v>
      </c>
      <c r="F7" s="285">
        <f t="shared" ref="F7:I7" si="0">SUM(F4:F6)</f>
        <v>6353426189</v>
      </c>
      <c r="G7" s="285">
        <f t="shared" si="0"/>
        <v>3692704424</v>
      </c>
      <c r="H7" s="285">
        <f t="shared" si="0"/>
        <v>7644206441</v>
      </c>
      <c r="I7" s="285">
        <f t="shared" si="0"/>
        <v>26581017297</v>
      </c>
    </row>
  </sheetData>
  <mergeCells count="1">
    <mergeCell ref="E2:H2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BreakPreview" zoomScaleNormal="70" zoomScaleSheetLayoutView="100" workbookViewId="0">
      <pane ySplit="3" topLeftCell="A13" activePane="bottomLeft" state="frozen"/>
      <selection activeCell="AE13" sqref="AE13"/>
      <selection pane="bottomLeft" activeCell="AE13" sqref="AE13"/>
    </sheetView>
  </sheetViews>
  <sheetFormatPr defaultRowHeight="15"/>
  <cols>
    <col min="1" max="1" width="7.140625" style="184" customWidth="1"/>
    <col min="2" max="2" width="11.140625" style="184" customWidth="1"/>
    <col min="3" max="3" width="29.42578125" style="184" customWidth="1"/>
    <col min="4" max="4" width="18.85546875" style="184" customWidth="1"/>
    <col min="5" max="5" width="17.42578125" style="227" customWidth="1"/>
    <col min="6" max="6" width="18.28515625" style="227" customWidth="1"/>
    <col min="7" max="7" width="15.5703125" style="184" customWidth="1"/>
    <col min="8" max="8" width="17" style="184" customWidth="1"/>
    <col min="9" max="9" width="18.85546875" style="184" customWidth="1"/>
    <col min="10" max="10" width="17" style="184" customWidth="1"/>
    <col min="11" max="11" width="12.5703125" style="184" customWidth="1"/>
    <col min="12" max="16384" width="9.140625" style="184"/>
  </cols>
  <sheetData>
    <row r="1" spans="1:12">
      <c r="A1" s="1213" t="s">
        <v>1079</v>
      </c>
      <c r="B1" s="1213"/>
      <c r="C1" s="1213"/>
      <c r="D1" s="1213"/>
      <c r="E1" s="1213"/>
      <c r="F1" s="1213"/>
      <c r="G1" s="1213"/>
      <c r="H1" s="1213"/>
      <c r="I1" s="1213"/>
      <c r="J1" s="1213"/>
    </row>
    <row r="2" spans="1:12" ht="65.25" customHeight="1">
      <c r="A2" s="1214" t="s">
        <v>1080</v>
      </c>
      <c r="B2" s="1214"/>
      <c r="C2" s="1214"/>
      <c r="D2" s="1214"/>
      <c r="E2" s="185" t="s">
        <v>1081</v>
      </c>
      <c r="F2" s="185" t="s">
        <v>1082</v>
      </c>
      <c r="G2" s="186" t="s">
        <v>1083</v>
      </c>
      <c r="H2" s="186" t="s">
        <v>1084</v>
      </c>
      <c r="I2" s="187" t="s">
        <v>1085</v>
      </c>
      <c r="J2" s="187" t="s">
        <v>1086</v>
      </c>
    </row>
    <row r="3" spans="1:12" s="194" customFormat="1" ht="51" customHeight="1">
      <c r="A3" s="188" t="s">
        <v>1087</v>
      </c>
      <c r="B3" s="188" t="s">
        <v>1088</v>
      </c>
      <c r="C3" s="189" t="s">
        <v>1089</v>
      </c>
      <c r="D3" s="188" t="s">
        <v>1090</v>
      </c>
      <c r="E3" s="190">
        <v>3</v>
      </c>
      <c r="F3" s="190">
        <v>4</v>
      </c>
      <c r="G3" s="191" t="s">
        <v>1091</v>
      </c>
      <c r="H3" s="192" t="s">
        <v>1092</v>
      </c>
      <c r="I3" s="193"/>
      <c r="J3" s="192"/>
    </row>
    <row r="4" spans="1:12" s="202" customFormat="1">
      <c r="A4" s="195">
        <v>52</v>
      </c>
      <c r="B4" s="195">
        <v>0</v>
      </c>
      <c r="C4" s="196" t="s">
        <v>1093</v>
      </c>
      <c r="D4" s="197">
        <v>7779320</v>
      </c>
      <c r="E4" s="197">
        <v>276511.43199999997</v>
      </c>
      <c r="F4" s="197">
        <v>275473.28099999996</v>
      </c>
      <c r="G4" s="198">
        <f>E4-F4</f>
        <v>1038.1510000000126</v>
      </c>
      <c r="H4" s="198"/>
      <c r="I4" s="199">
        <f>IF(D4&lt;0,D4,)</f>
        <v>0</v>
      </c>
      <c r="J4" s="200">
        <f t="shared" ref="J4:J17" si="0">IF(D4&gt;0,D4,)</f>
        <v>7779320</v>
      </c>
      <c r="K4" s="200"/>
      <c r="L4" s="201"/>
    </row>
    <row r="5" spans="1:12" s="202" customFormat="1">
      <c r="A5" s="195">
        <v>1</v>
      </c>
      <c r="B5" s="195">
        <v>0</v>
      </c>
      <c r="C5" s="196" t="s">
        <v>1094</v>
      </c>
      <c r="D5" s="197">
        <v>-42815848</v>
      </c>
      <c r="E5" s="197">
        <v>683808.32900000003</v>
      </c>
      <c r="F5" s="197">
        <v>674420.57499999995</v>
      </c>
      <c r="G5" s="198">
        <f>E5-F5</f>
        <v>9387.7540000000736</v>
      </c>
      <c r="H5" s="198"/>
      <c r="I5" s="199">
        <f>IF(D5&lt;0,D5,)</f>
        <v>-42815848</v>
      </c>
      <c r="J5" s="200">
        <f t="shared" si="0"/>
        <v>0</v>
      </c>
      <c r="K5" s="203"/>
      <c r="L5" s="201"/>
    </row>
    <row r="6" spans="1:12" s="202" customFormat="1">
      <c r="A6" s="195">
        <v>2</v>
      </c>
      <c r="B6" s="195">
        <v>0</v>
      </c>
      <c r="C6" s="196" t="s">
        <v>1095</v>
      </c>
      <c r="D6" s="197">
        <v>42006097</v>
      </c>
      <c r="E6" s="197">
        <v>664395.78300000005</v>
      </c>
      <c r="F6" s="197">
        <v>671041.12099999993</v>
      </c>
      <c r="G6" s="198"/>
      <c r="H6" s="198">
        <f>F6-E6</f>
        <v>6645.3379999998724</v>
      </c>
      <c r="I6" s="199">
        <f t="shared" ref="I6:I12" si="1">IF(D6&lt;0,D6,)</f>
        <v>0</v>
      </c>
      <c r="J6" s="200">
        <f t="shared" si="0"/>
        <v>42006097</v>
      </c>
      <c r="K6" s="203"/>
      <c r="L6" s="201"/>
    </row>
    <row r="7" spans="1:12" s="202" customFormat="1">
      <c r="A7" s="195">
        <v>3</v>
      </c>
      <c r="B7" s="195">
        <v>0</v>
      </c>
      <c r="C7" s="196" t="s">
        <v>1096</v>
      </c>
      <c r="D7" s="197">
        <v>-41423248</v>
      </c>
      <c r="E7" s="197">
        <v>677535.56099999999</v>
      </c>
      <c r="F7" s="197">
        <v>672630.42200000002</v>
      </c>
      <c r="G7" s="198">
        <f t="shared" ref="G7:G8" si="2">E7-F7</f>
        <v>4905.1389999999665</v>
      </c>
      <c r="H7" s="198"/>
      <c r="I7" s="199">
        <f t="shared" si="1"/>
        <v>-41423248</v>
      </c>
      <c r="J7" s="200">
        <f t="shared" si="0"/>
        <v>0</v>
      </c>
      <c r="K7" s="203"/>
      <c r="L7" s="201"/>
    </row>
    <row r="8" spans="1:12" s="202" customFormat="1">
      <c r="A8" s="195">
        <v>4</v>
      </c>
      <c r="B8" s="195">
        <v>0</v>
      </c>
      <c r="C8" s="196" t="s">
        <v>1097</v>
      </c>
      <c r="D8" s="197">
        <v>-45126146</v>
      </c>
      <c r="E8" s="197">
        <v>681286.72200000007</v>
      </c>
      <c r="F8" s="197">
        <v>675979.12100000004</v>
      </c>
      <c r="G8" s="198">
        <f t="shared" si="2"/>
        <v>5307.6010000000242</v>
      </c>
      <c r="H8" s="198"/>
      <c r="I8" s="199">
        <f t="shared" si="1"/>
        <v>-45126146</v>
      </c>
      <c r="J8" s="200">
        <f t="shared" si="0"/>
        <v>0</v>
      </c>
      <c r="K8" s="203"/>
      <c r="L8" s="201"/>
    </row>
    <row r="9" spans="1:12" s="202" customFormat="1">
      <c r="A9" s="195">
        <v>5</v>
      </c>
      <c r="B9" s="195">
        <v>0</v>
      </c>
      <c r="C9" s="196" t="s">
        <v>1098</v>
      </c>
      <c r="D9" s="197">
        <v>19364188</v>
      </c>
      <c r="E9" s="197">
        <v>657356.09000000008</v>
      </c>
      <c r="F9" s="197">
        <v>660767.72199999995</v>
      </c>
      <c r="G9" s="198"/>
      <c r="H9" s="198">
        <f t="shared" ref="H9:H16" si="3">F9-E9</f>
        <v>3411.6319999998668</v>
      </c>
      <c r="I9" s="199">
        <f t="shared" si="1"/>
        <v>0</v>
      </c>
      <c r="J9" s="200">
        <f t="shared" si="0"/>
        <v>19364188</v>
      </c>
      <c r="K9" s="203"/>
      <c r="L9" s="201"/>
    </row>
    <row r="10" spans="1:12" s="202" customFormat="1">
      <c r="A10" s="195">
        <v>6</v>
      </c>
      <c r="B10" s="195">
        <v>0</v>
      </c>
      <c r="C10" s="196" t="s">
        <v>1099</v>
      </c>
      <c r="D10" s="197">
        <v>-14772032</v>
      </c>
      <c r="E10" s="197">
        <v>671953.82900000003</v>
      </c>
      <c r="F10" s="197">
        <v>666458.44999999995</v>
      </c>
      <c r="G10" s="198">
        <f>E10-F10</f>
        <v>5495.3790000000736</v>
      </c>
      <c r="H10" s="198"/>
      <c r="I10" s="199">
        <f t="shared" si="1"/>
        <v>-14772032</v>
      </c>
      <c r="J10" s="200">
        <f t="shared" si="0"/>
        <v>0</v>
      </c>
      <c r="K10" s="203"/>
      <c r="L10" s="201"/>
    </row>
    <row r="11" spans="1:12" s="202" customFormat="1">
      <c r="A11" s="195">
        <v>7</v>
      </c>
      <c r="B11" s="195">
        <v>0</v>
      </c>
      <c r="C11" s="196" t="s">
        <v>1100</v>
      </c>
      <c r="D11" s="197">
        <v>2564985</v>
      </c>
      <c r="E11" s="197">
        <v>656346.13199999998</v>
      </c>
      <c r="F11" s="197">
        <v>649977.81200000003</v>
      </c>
      <c r="G11" s="198">
        <f>E11-F11</f>
        <v>6368.3199999999488</v>
      </c>
      <c r="H11" s="198"/>
      <c r="I11" s="199">
        <f t="shared" si="1"/>
        <v>0</v>
      </c>
      <c r="J11" s="200">
        <f t="shared" si="0"/>
        <v>2564985</v>
      </c>
      <c r="K11" s="203"/>
      <c r="L11" s="201"/>
    </row>
    <row r="12" spans="1:12" s="202" customFormat="1">
      <c r="A12" s="195">
        <v>8</v>
      </c>
      <c r="B12" s="195">
        <v>0</v>
      </c>
      <c r="C12" s="196" t="s">
        <v>1101</v>
      </c>
      <c r="D12" s="197">
        <v>-1347844</v>
      </c>
      <c r="E12" s="197">
        <v>647363.31500000006</v>
      </c>
      <c r="F12" s="197">
        <v>645264.26199999999</v>
      </c>
      <c r="G12" s="198">
        <f>E12-F12</f>
        <v>2099.0530000000726</v>
      </c>
      <c r="H12" s="198"/>
      <c r="I12" s="199">
        <f t="shared" si="1"/>
        <v>-1347844</v>
      </c>
      <c r="J12" s="200">
        <f t="shared" si="0"/>
        <v>0</v>
      </c>
      <c r="K12" s="203"/>
      <c r="L12" s="201"/>
    </row>
    <row r="13" spans="1:12" s="202" customFormat="1">
      <c r="A13" s="195">
        <v>9</v>
      </c>
      <c r="B13" s="195">
        <v>1</v>
      </c>
      <c r="C13" s="196" t="s">
        <v>1102</v>
      </c>
      <c r="D13" s="197">
        <v>-9760110</v>
      </c>
      <c r="E13" s="197">
        <v>655358.05300000007</v>
      </c>
      <c r="F13" s="197">
        <v>652320.05400000012</v>
      </c>
      <c r="G13" s="198">
        <f>E13-F13</f>
        <v>3037.9989999999525</v>
      </c>
      <c r="H13" s="198"/>
      <c r="I13" s="199">
        <f>IF(D13&lt;0,D13,)</f>
        <v>-9760110</v>
      </c>
      <c r="J13" s="200">
        <f t="shared" si="0"/>
        <v>0</v>
      </c>
      <c r="K13" s="203"/>
      <c r="L13" s="201"/>
    </row>
    <row r="14" spans="1:12" s="202" customFormat="1">
      <c r="A14" s="195">
        <v>10</v>
      </c>
      <c r="B14" s="195">
        <v>0</v>
      </c>
      <c r="C14" s="196" t="s">
        <v>1103</v>
      </c>
      <c r="D14" s="197">
        <v>51055811</v>
      </c>
      <c r="E14" s="197">
        <v>648567.57899999991</v>
      </c>
      <c r="F14" s="197">
        <v>655180.73100000003</v>
      </c>
      <c r="G14" s="198"/>
      <c r="H14" s="198">
        <f t="shared" si="3"/>
        <v>6613.1520000001183</v>
      </c>
      <c r="I14" s="199">
        <f>IF(D14&lt;0,D14,)</f>
        <v>0</v>
      </c>
      <c r="J14" s="200">
        <f t="shared" si="0"/>
        <v>51055811</v>
      </c>
      <c r="K14" s="203"/>
      <c r="L14" s="201"/>
    </row>
    <row r="15" spans="1:12" s="202" customFormat="1">
      <c r="A15" s="195">
        <v>11</v>
      </c>
      <c r="B15" s="195">
        <v>0</v>
      </c>
      <c r="C15" s="196" t="s">
        <v>1104</v>
      </c>
      <c r="D15" s="197">
        <v>45431176</v>
      </c>
      <c r="E15" s="197">
        <v>640271.42800000007</v>
      </c>
      <c r="F15" s="197">
        <v>643241.69799999997</v>
      </c>
      <c r="G15" s="198"/>
      <c r="H15" s="198">
        <f t="shared" si="3"/>
        <v>2970.2699999999022</v>
      </c>
      <c r="I15" s="199">
        <f>IF(D15&lt;0,D15,)</f>
        <v>0</v>
      </c>
      <c r="J15" s="200">
        <f t="shared" si="0"/>
        <v>45431176</v>
      </c>
      <c r="K15" s="203"/>
      <c r="L15" s="201"/>
    </row>
    <row r="16" spans="1:12" s="202" customFormat="1">
      <c r="A16" s="195">
        <v>12</v>
      </c>
      <c r="B16" s="195">
        <v>0</v>
      </c>
      <c r="C16" s="196" t="s">
        <v>1105</v>
      </c>
      <c r="D16" s="197">
        <v>35019216</v>
      </c>
      <c r="E16" s="197">
        <v>614781.39099999995</v>
      </c>
      <c r="F16" s="197">
        <v>615927.33600000001</v>
      </c>
      <c r="G16" s="198"/>
      <c r="H16" s="198">
        <f t="shared" si="3"/>
        <v>1145.9450000000652</v>
      </c>
      <c r="I16" s="199">
        <f>IF(D16&lt;0,D16,)</f>
        <v>0</v>
      </c>
      <c r="J16" s="200">
        <f t="shared" si="0"/>
        <v>35019216</v>
      </c>
      <c r="K16" s="203"/>
      <c r="L16" s="201"/>
    </row>
    <row r="17" spans="1:12" s="202" customFormat="1">
      <c r="A17" s="195">
        <v>13</v>
      </c>
      <c r="B17" s="195">
        <v>0</v>
      </c>
      <c r="C17" s="196" t="s">
        <v>1106</v>
      </c>
      <c r="D17" s="197">
        <v>11011411</v>
      </c>
      <c r="E17" s="197">
        <v>607108.26</v>
      </c>
      <c r="F17" s="197">
        <v>603926.27599999995</v>
      </c>
      <c r="G17" s="198">
        <f>E17-F17</f>
        <v>3181.9840000000549</v>
      </c>
      <c r="H17" s="198"/>
      <c r="I17" s="199">
        <f>IF(D17&lt;0,D17,)</f>
        <v>0</v>
      </c>
      <c r="J17" s="200">
        <f t="shared" si="0"/>
        <v>11011411</v>
      </c>
      <c r="K17" s="203"/>
      <c r="L17" s="201"/>
    </row>
    <row r="18" spans="1:12" s="202" customFormat="1">
      <c r="A18" s="195"/>
      <c r="B18" s="195"/>
      <c r="C18" s="196"/>
      <c r="D18" s="197"/>
      <c r="E18" s="197"/>
      <c r="F18" s="197"/>
      <c r="G18" s="198"/>
      <c r="H18" s="198"/>
      <c r="I18" s="199"/>
      <c r="J18" s="200"/>
      <c r="K18" s="203"/>
      <c r="L18" s="201"/>
    </row>
    <row r="19" spans="1:12" s="202" customFormat="1">
      <c r="A19" s="195"/>
      <c r="B19" s="195"/>
      <c r="C19" s="196"/>
      <c r="D19" s="197"/>
      <c r="E19" s="197"/>
      <c r="F19" s="197"/>
      <c r="G19" s="198"/>
      <c r="H19" s="198"/>
      <c r="I19" s="199"/>
      <c r="J19" s="200"/>
      <c r="K19" s="203"/>
      <c r="L19" s="201"/>
    </row>
    <row r="20" spans="1:12" ht="21" customHeight="1">
      <c r="A20" s="204"/>
      <c r="B20" s="204"/>
      <c r="C20" s="205"/>
      <c r="D20" s="206">
        <f t="shared" ref="D20:J20" si="4">SUM(D4:D19)</f>
        <v>58986976</v>
      </c>
      <c r="E20" s="206">
        <f t="shared" si="4"/>
        <v>8782643.904000001</v>
      </c>
      <c r="F20" s="206">
        <f t="shared" si="4"/>
        <v>8762608.8610000014</v>
      </c>
      <c r="G20" s="206">
        <f t="shared" si="4"/>
        <v>40821.380000000179</v>
      </c>
      <c r="H20" s="206">
        <f t="shared" si="4"/>
        <v>20786.336999999825</v>
      </c>
      <c r="I20" s="206">
        <f t="shared" si="4"/>
        <v>-155245228</v>
      </c>
      <c r="J20" s="206">
        <f t="shared" si="4"/>
        <v>214232204</v>
      </c>
      <c r="K20" s="207"/>
    </row>
    <row r="21" spans="1:12" ht="18.75" customHeight="1">
      <c r="A21" s="208"/>
      <c r="B21" s="208"/>
      <c r="C21" s="204" t="s">
        <v>1107</v>
      </c>
      <c r="D21" s="209"/>
      <c r="E21" s="1215">
        <f>F20-E20</f>
        <v>-20035.042999999598</v>
      </c>
      <c r="F21" s="1216"/>
      <c r="G21" s="1217">
        <f>H20-G20</f>
        <v>-20035.043000000354</v>
      </c>
      <c r="H21" s="1218"/>
      <c r="I21" s="1219">
        <f>J20+I20</f>
        <v>58986976</v>
      </c>
      <c r="J21" s="1219"/>
      <c r="K21" s="207"/>
    </row>
    <row r="22" spans="1:12" ht="15.75">
      <c r="E22" s="197"/>
      <c r="F22" s="210"/>
      <c r="G22" s="214">
        <f>+G20/1000</f>
        <v>40.821380000000183</v>
      </c>
      <c r="H22" s="214">
        <f>+H20/1000</f>
        <v>20.786336999999826</v>
      </c>
      <c r="I22" s="214">
        <f>+I20/10^7</f>
        <v>-15.5245228</v>
      </c>
      <c r="J22" s="214">
        <f>+J20/10^7</f>
        <v>21.423220400000002</v>
      </c>
    </row>
    <row r="23" spans="1:12" ht="15.75">
      <c r="E23" s="210"/>
      <c r="F23" s="213"/>
      <c r="G23" s="211"/>
      <c r="H23" s="214">
        <f>E21-G21</f>
        <v>7.5669959187507629E-10</v>
      </c>
      <c r="I23" s="212"/>
      <c r="J23" s="215">
        <f>I21/10000000</f>
        <v>5.8986976000000002</v>
      </c>
      <c r="K23" s="216"/>
    </row>
    <row r="24" spans="1:12" ht="15.75">
      <c r="E24" s="210"/>
      <c r="F24" s="213"/>
      <c r="G24" s="211"/>
      <c r="H24" s="211">
        <f>D20-I21</f>
        <v>0</v>
      </c>
      <c r="I24" s="212"/>
      <c r="J24" s="212"/>
    </row>
    <row r="25" spans="1:12" ht="15.75">
      <c r="B25" s="217" t="s">
        <v>1108</v>
      </c>
      <c r="C25" s="1220" t="s">
        <v>1109</v>
      </c>
      <c r="D25" s="1220"/>
      <c r="E25" s="1220"/>
      <c r="F25" s="218"/>
      <c r="G25" s="219"/>
      <c r="H25" s="214"/>
      <c r="I25" s="212"/>
      <c r="J25" s="212"/>
    </row>
    <row r="26" spans="1:12" ht="15.75">
      <c r="B26" s="220"/>
      <c r="C26" s="1220" t="s">
        <v>1110</v>
      </c>
      <c r="D26" s="1220"/>
      <c r="E26" s="1220"/>
      <c r="F26" s="213"/>
      <c r="G26" s="221"/>
      <c r="H26" s="222"/>
      <c r="I26" s="222"/>
      <c r="J26" s="222"/>
    </row>
    <row r="27" spans="1:12" ht="15.75">
      <c r="A27" s="223"/>
      <c r="B27" s="220"/>
      <c r="C27" s="1220" t="s">
        <v>1111</v>
      </c>
      <c r="D27" s="1220"/>
      <c r="E27" s="1220"/>
      <c r="F27" s="224"/>
      <c r="G27" s="221"/>
      <c r="H27" s="1221"/>
      <c r="I27" s="1221"/>
      <c r="J27" s="225"/>
    </row>
    <row r="28" spans="1:12" ht="15.75">
      <c r="A28" s="223"/>
      <c r="B28" s="220"/>
      <c r="C28" s="1220"/>
      <c r="D28" s="1220"/>
      <c r="E28" s="1220"/>
      <c r="F28" s="226"/>
      <c r="G28" s="221"/>
      <c r="H28" s="1222"/>
      <c r="I28" s="1222"/>
      <c r="J28" s="225"/>
    </row>
    <row r="29" spans="1:12" ht="15.75">
      <c r="F29" s="228"/>
      <c r="J29" s="229"/>
    </row>
    <row r="30" spans="1:12" ht="15.75">
      <c r="F30" s="228"/>
      <c r="J30" s="229"/>
    </row>
    <row r="31" spans="1:12" ht="15.75">
      <c r="F31" s="1212"/>
      <c r="G31" s="1212"/>
      <c r="H31" s="1212"/>
      <c r="I31" s="1212"/>
    </row>
    <row r="32" spans="1:12" ht="15.75">
      <c r="J32" s="229"/>
    </row>
  </sheetData>
  <mergeCells count="12">
    <mergeCell ref="F31:I31"/>
    <mergeCell ref="A1:J1"/>
    <mergeCell ref="A2:D2"/>
    <mergeCell ref="E21:F21"/>
    <mergeCell ref="G21:H21"/>
    <mergeCell ref="I21:J21"/>
    <mergeCell ref="C25:E25"/>
    <mergeCell ref="C26:E26"/>
    <mergeCell ref="C27:E27"/>
    <mergeCell ref="H27:I27"/>
    <mergeCell ref="C28:E28"/>
    <mergeCell ref="H28:I28"/>
  </mergeCells>
  <pageMargins left="0.7" right="0.7" top="0.75" bottom="0.75" header="0.3" footer="0.3"/>
  <pageSetup paperSize="9" scale="5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AE13" sqref="AE13"/>
    </sheetView>
  </sheetViews>
  <sheetFormatPr defaultRowHeight="12.75"/>
  <cols>
    <col min="2" max="2" width="33.28515625" customWidth="1"/>
    <col min="3" max="3" width="13.7109375" customWidth="1"/>
    <col min="4" max="4" width="11.7109375" customWidth="1"/>
    <col min="5" max="5" width="12" customWidth="1"/>
    <col min="6" max="6" width="12.85546875" customWidth="1"/>
    <col min="7" max="7" width="12.7109375" customWidth="1"/>
  </cols>
  <sheetData>
    <row r="1" spans="2:6" ht="13.5" thickBot="1"/>
    <row r="2" spans="2:6" ht="20.100000000000001" customHeight="1" thickBot="1">
      <c r="B2" s="1227" t="s">
        <v>1162</v>
      </c>
      <c r="C2" s="1228"/>
      <c r="D2" s="1228"/>
      <c r="E2" s="1228"/>
      <c r="F2" s="1228"/>
    </row>
    <row r="3" spans="2:6" ht="20.100000000000001" customHeight="1" thickBot="1">
      <c r="B3" s="1229" t="s">
        <v>1163</v>
      </c>
      <c r="C3" s="1230"/>
      <c r="D3" s="1230"/>
      <c r="E3" s="1230"/>
      <c r="F3" s="1230"/>
    </row>
    <row r="4" spans="2:6" ht="20.100000000000001" customHeight="1" thickBot="1">
      <c r="B4" s="1231" t="s">
        <v>1</v>
      </c>
      <c r="C4" s="1233" t="s">
        <v>1165</v>
      </c>
      <c r="D4" s="1234"/>
      <c r="E4" s="1233" t="s">
        <v>1164</v>
      </c>
      <c r="F4" s="1234"/>
    </row>
    <row r="5" spans="2:6" ht="20.100000000000001" customHeight="1" thickBot="1">
      <c r="B5" s="1232"/>
      <c r="C5" s="297" t="s">
        <v>1117</v>
      </c>
      <c r="D5" s="297" t="s">
        <v>1167</v>
      </c>
      <c r="E5" s="297" t="s">
        <v>1117</v>
      </c>
      <c r="F5" s="297" t="s">
        <v>1166</v>
      </c>
    </row>
    <row r="6" spans="2:6" ht="20.100000000000001" customHeight="1" thickBot="1">
      <c r="B6" s="298" t="s">
        <v>1168</v>
      </c>
      <c r="C6" s="299"/>
      <c r="D6" s="300"/>
      <c r="E6" s="299"/>
      <c r="F6" s="299"/>
    </row>
    <row r="7" spans="2:6" ht="20.100000000000001" customHeight="1" thickBot="1">
      <c r="B7" s="298" t="s">
        <v>1169</v>
      </c>
      <c r="C7" s="301"/>
      <c r="D7" s="300"/>
      <c r="E7" s="299"/>
      <c r="F7" s="299"/>
    </row>
    <row r="8" spans="2:6" ht="20.100000000000001" customHeight="1" thickBot="1">
      <c r="B8" s="302" t="s">
        <v>1170</v>
      </c>
      <c r="C8" s="303">
        <v>5294.96</v>
      </c>
      <c r="D8" s="303">
        <v>10852.73</v>
      </c>
      <c r="E8" s="303">
        <v>4065.34</v>
      </c>
      <c r="F8" s="303">
        <v>7808.71</v>
      </c>
    </row>
    <row r="9" spans="2:6" ht="20.100000000000001" customHeight="1" thickBot="1">
      <c r="B9" s="302" t="s">
        <v>1171</v>
      </c>
      <c r="C9" s="303">
        <v>73.849999999999994</v>
      </c>
      <c r="D9" s="303">
        <v>138.35</v>
      </c>
      <c r="E9" s="303">
        <v>47.03</v>
      </c>
      <c r="F9" s="303">
        <v>94.06</v>
      </c>
    </row>
    <row r="10" spans="2:6" ht="20.100000000000001" customHeight="1" thickBot="1">
      <c r="B10" s="298" t="s">
        <v>1172</v>
      </c>
      <c r="C10" s="304">
        <v>5368.81</v>
      </c>
      <c r="D10" s="304">
        <v>10991.08</v>
      </c>
      <c r="E10" s="304">
        <v>4112.37</v>
      </c>
      <c r="F10" s="304">
        <v>7902.77</v>
      </c>
    </row>
    <row r="11" spans="2:6" ht="20.100000000000001" customHeight="1" thickBot="1">
      <c r="B11" s="298" t="s">
        <v>1173</v>
      </c>
      <c r="C11" s="303"/>
      <c r="D11" s="305"/>
      <c r="E11" s="306"/>
      <c r="F11" s="305"/>
    </row>
    <row r="12" spans="2:6" ht="20.100000000000001" customHeight="1" thickBot="1">
      <c r="B12" s="302" t="s">
        <v>1174</v>
      </c>
      <c r="C12" s="303"/>
      <c r="D12" s="303">
        <v>5303.08</v>
      </c>
      <c r="E12" s="303">
        <v>3815.3</v>
      </c>
      <c r="F12" s="303">
        <v>7311.95</v>
      </c>
    </row>
    <row r="13" spans="2:6" ht="20.100000000000001" customHeight="1" thickBot="1">
      <c r="B13" s="302" t="s">
        <v>1175</v>
      </c>
      <c r="C13" s="303">
        <v>131.47</v>
      </c>
      <c r="D13" s="303">
        <v>278.58</v>
      </c>
      <c r="E13" s="303">
        <v>136.74</v>
      </c>
      <c r="F13" s="303">
        <v>274.24</v>
      </c>
    </row>
    <row r="14" spans="2:6" ht="20.100000000000001" customHeight="1" thickBot="1">
      <c r="B14" s="302" t="s">
        <v>26</v>
      </c>
      <c r="C14" s="303">
        <v>27.84</v>
      </c>
      <c r="D14" s="303">
        <v>55.68</v>
      </c>
      <c r="E14" s="303">
        <v>26.28</v>
      </c>
      <c r="F14" s="303">
        <v>52.55</v>
      </c>
    </row>
    <row r="15" spans="2:6" ht="20.100000000000001" customHeight="1" thickBot="1">
      <c r="B15" s="302" t="s">
        <v>1176</v>
      </c>
      <c r="C15" s="303">
        <v>99.49</v>
      </c>
      <c r="D15" s="303">
        <v>198.98</v>
      </c>
      <c r="E15" s="303">
        <v>91.37</v>
      </c>
      <c r="F15" s="303">
        <v>182.74</v>
      </c>
    </row>
    <row r="16" spans="2:6" ht="36" customHeight="1" thickBot="1">
      <c r="B16" s="302" t="s">
        <v>1177</v>
      </c>
      <c r="C16" s="303"/>
      <c r="D16" s="303">
        <v>29.83</v>
      </c>
      <c r="E16" s="303">
        <v>22.79</v>
      </c>
      <c r="F16" s="303">
        <v>32.950000000000003</v>
      </c>
    </row>
    <row r="17" spans="2:6" ht="20.100000000000001" customHeight="1" thickBot="1">
      <c r="B17" s="298" t="s">
        <v>1178</v>
      </c>
      <c r="C17" s="304"/>
      <c r="D17" s="304">
        <v>5607.35</v>
      </c>
      <c r="E17" s="304">
        <v>4092.48</v>
      </c>
      <c r="F17" s="304">
        <v>7854.43</v>
      </c>
    </row>
    <row r="18" spans="2:6" ht="20.100000000000001" customHeight="1" thickBot="1">
      <c r="B18" s="298" t="s">
        <v>1179</v>
      </c>
      <c r="C18" s="303"/>
      <c r="D18" s="303">
        <v>14.92</v>
      </c>
      <c r="E18" s="303">
        <v>19.899999999999999</v>
      </c>
      <c r="F18" s="303">
        <v>48.35</v>
      </c>
    </row>
    <row r="19" spans="2:6" ht="13.5" thickBot="1"/>
    <row r="20" spans="2:6" ht="16.5" customHeight="1" thickBot="1">
      <c r="B20" s="1231" t="s">
        <v>1180</v>
      </c>
      <c r="C20" s="1233" t="s">
        <v>1165</v>
      </c>
      <c r="D20" s="1234"/>
      <c r="E20" s="1233" t="s">
        <v>1164</v>
      </c>
      <c r="F20" s="1234"/>
    </row>
    <row r="21" spans="2:6" ht="16.5" thickBot="1">
      <c r="B21" s="1232"/>
      <c r="C21" s="297" t="s">
        <v>1117</v>
      </c>
      <c r="D21" s="297" t="s">
        <v>1166</v>
      </c>
      <c r="E21" s="297" t="s">
        <v>1117</v>
      </c>
      <c r="F21" s="297" t="s">
        <v>1166</v>
      </c>
    </row>
    <row r="22" spans="2:6" ht="15.75" thickBot="1">
      <c r="B22" s="307" t="s">
        <v>1181</v>
      </c>
      <c r="C22" s="300">
        <v>980</v>
      </c>
      <c r="D22" s="300">
        <v>2095</v>
      </c>
      <c r="E22" s="300">
        <v>952</v>
      </c>
      <c r="F22" s="300">
        <v>1990</v>
      </c>
    </row>
    <row r="23" spans="2:6" ht="15.75" thickBot="1">
      <c r="B23" s="307" t="s">
        <v>1182</v>
      </c>
      <c r="C23" s="300">
        <v>33</v>
      </c>
      <c r="D23" s="300">
        <v>64</v>
      </c>
      <c r="E23" s="300">
        <v>26</v>
      </c>
      <c r="F23" s="300">
        <v>52</v>
      </c>
    </row>
    <row r="24" spans="2:6" ht="15.75" thickBot="1">
      <c r="B24" s="307" t="s">
        <v>1183</v>
      </c>
      <c r="C24" s="300">
        <v>1884</v>
      </c>
      <c r="D24" s="300">
        <v>3708</v>
      </c>
      <c r="E24" s="300">
        <v>1636</v>
      </c>
      <c r="F24" s="300">
        <v>3069</v>
      </c>
    </row>
    <row r="25" spans="2:6" ht="15.75" thickBot="1">
      <c r="B25" s="307" t="s">
        <v>1184</v>
      </c>
      <c r="C25" s="300">
        <v>3976</v>
      </c>
      <c r="D25" s="300">
        <v>8088</v>
      </c>
      <c r="E25" s="300">
        <v>3041</v>
      </c>
      <c r="F25" s="300">
        <v>5646</v>
      </c>
    </row>
    <row r="26" spans="2:6" ht="15.75" thickBot="1">
      <c r="B26" s="307" t="s">
        <v>1185</v>
      </c>
      <c r="C26" s="300">
        <v>4</v>
      </c>
      <c r="D26" s="300">
        <v>7</v>
      </c>
      <c r="E26" s="300">
        <v>2</v>
      </c>
      <c r="F26" s="300">
        <v>4</v>
      </c>
    </row>
    <row r="27" spans="2:6" ht="15.75" thickBot="1">
      <c r="B27" s="307" t="s">
        <v>1186</v>
      </c>
      <c r="C27" s="300">
        <v>83</v>
      </c>
      <c r="D27" s="300">
        <v>405</v>
      </c>
      <c r="E27" s="300">
        <v>98</v>
      </c>
      <c r="F27" s="300">
        <v>378</v>
      </c>
    </row>
    <row r="28" spans="2:6" ht="15.75" thickBot="1">
      <c r="B28" s="307" t="s">
        <v>1128</v>
      </c>
      <c r="C28" s="300">
        <v>71</v>
      </c>
      <c r="D28" s="300">
        <v>151</v>
      </c>
      <c r="E28" s="300">
        <v>68</v>
      </c>
      <c r="F28" s="300">
        <v>138</v>
      </c>
    </row>
    <row r="29" spans="2:6" ht="16.5" thickBot="1">
      <c r="B29" s="298" t="s">
        <v>1107</v>
      </c>
      <c r="C29" s="301">
        <v>7031</v>
      </c>
      <c r="D29" s="301">
        <v>14518</v>
      </c>
      <c r="E29" s="301">
        <v>5823</v>
      </c>
      <c r="F29" s="301">
        <v>11277</v>
      </c>
    </row>
    <row r="31" spans="2:6" ht="15">
      <c r="B31" s="308" t="s">
        <v>1187</v>
      </c>
      <c r="C31" s="183">
        <f>+C8/C29*10</f>
        <v>7.5308775423126146</v>
      </c>
      <c r="D31" s="183">
        <f t="shared" ref="D31:F31" si="0">+D8/D29*10</f>
        <v>7.4753616200578588</v>
      </c>
      <c r="E31" s="183">
        <f t="shared" si="0"/>
        <v>6.9815215524643657</v>
      </c>
      <c r="F31" s="183">
        <f t="shared" si="0"/>
        <v>6.9244568590937305</v>
      </c>
    </row>
    <row r="32" spans="2:6" ht="13.5" thickBot="1"/>
    <row r="33" spans="1:7" ht="16.5" customHeight="1" thickBot="1">
      <c r="B33" s="309" t="s">
        <v>1</v>
      </c>
      <c r="C33" s="1233" t="s">
        <v>1165</v>
      </c>
      <c r="D33" s="1234"/>
      <c r="E33" s="1233" t="s">
        <v>1164</v>
      </c>
      <c r="F33" s="1234"/>
    </row>
    <row r="34" spans="1:7" ht="16.5" thickBot="1">
      <c r="B34" s="310"/>
      <c r="C34" s="297" t="s">
        <v>1188</v>
      </c>
      <c r="D34" s="297" t="s">
        <v>1189</v>
      </c>
      <c r="E34" s="297" t="s">
        <v>1188</v>
      </c>
      <c r="F34" s="297" t="s">
        <v>1189</v>
      </c>
    </row>
    <row r="35" spans="1:7" ht="30.75" thickBot="1">
      <c r="B35" s="307" t="s">
        <v>1190</v>
      </c>
      <c r="C35" s="311">
        <v>7644</v>
      </c>
      <c r="D35" s="311">
        <v>15285</v>
      </c>
      <c r="E35" s="300">
        <v>6379</v>
      </c>
      <c r="F35" s="300">
        <v>11931</v>
      </c>
    </row>
    <row r="36" spans="1:7" ht="30.75" thickBot="1">
      <c r="B36" s="307" t="s">
        <v>47</v>
      </c>
      <c r="C36" s="311">
        <v>21</v>
      </c>
      <c r="D36" s="311">
        <v>41</v>
      </c>
      <c r="E36" s="300">
        <v>13</v>
      </c>
      <c r="F36" s="300">
        <v>26</v>
      </c>
    </row>
    <row r="37" spans="1:7" ht="30.75" thickBot="1">
      <c r="B37" s="307" t="s">
        <v>49</v>
      </c>
      <c r="C37" s="311">
        <v>0</v>
      </c>
      <c r="D37" s="311">
        <v>0</v>
      </c>
      <c r="E37" s="300">
        <v>0</v>
      </c>
      <c r="F37" s="300">
        <v>0</v>
      </c>
    </row>
    <row r="38" spans="1:7" ht="15.75" thickBot="1">
      <c r="B38" s="307" t="s">
        <v>50</v>
      </c>
      <c r="C38" s="311">
        <v>-379</v>
      </c>
      <c r="D38" s="311">
        <v>21</v>
      </c>
      <c r="E38" s="300">
        <v>108</v>
      </c>
      <c r="F38" s="300">
        <v>494</v>
      </c>
    </row>
    <row r="39" spans="1:7" ht="15.75" thickBot="1">
      <c r="B39" s="307" t="s">
        <v>51</v>
      </c>
      <c r="C39" s="311">
        <v>0</v>
      </c>
      <c r="D39" s="311">
        <v>0</v>
      </c>
      <c r="E39" s="300">
        <v>0</v>
      </c>
      <c r="F39" s="300">
        <v>0</v>
      </c>
    </row>
    <row r="40" spans="1:7" ht="15.75" thickBot="1">
      <c r="B40" s="307" t="s">
        <v>52</v>
      </c>
      <c r="C40" s="311">
        <v>30</v>
      </c>
      <c r="D40" s="311">
        <v>40</v>
      </c>
      <c r="E40" s="300">
        <v>0</v>
      </c>
      <c r="F40" s="300">
        <v>0</v>
      </c>
    </row>
    <row r="41" spans="1:7" ht="16.5" thickBot="1">
      <c r="B41" s="312" t="s">
        <v>53</v>
      </c>
      <c r="C41" s="313">
        <v>7256</v>
      </c>
      <c r="D41" s="313">
        <v>15307</v>
      </c>
      <c r="E41" s="301">
        <v>6500</v>
      </c>
      <c r="F41" s="301">
        <v>12451</v>
      </c>
    </row>
    <row r="42" spans="1:7" ht="30.75" thickBot="1">
      <c r="B42" s="307" t="s">
        <v>1191</v>
      </c>
      <c r="C42" s="311">
        <v>7031</v>
      </c>
      <c r="D42" s="311">
        <v>14518</v>
      </c>
      <c r="E42" s="300">
        <v>5823</v>
      </c>
      <c r="F42" s="300">
        <v>11277</v>
      </c>
    </row>
    <row r="43" spans="1:7" ht="30.75" thickBot="1">
      <c r="B43" s="307" t="s">
        <v>55</v>
      </c>
      <c r="C43" s="311">
        <v>0</v>
      </c>
      <c r="D43" s="311">
        <v>0</v>
      </c>
      <c r="E43" s="300">
        <v>0</v>
      </c>
      <c r="F43" s="300">
        <v>0</v>
      </c>
    </row>
    <row r="44" spans="1:7" ht="16.5" thickBot="1">
      <c r="B44" s="312" t="s">
        <v>56</v>
      </c>
      <c r="C44" s="313">
        <v>7031</v>
      </c>
      <c r="D44" s="313">
        <v>14518</v>
      </c>
      <c r="E44" s="301">
        <v>5823</v>
      </c>
      <c r="F44" s="301">
        <v>11277</v>
      </c>
    </row>
    <row r="45" spans="1:7" ht="15.75" thickBot="1">
      <c r="B45" s="307" t="s">
        <v>57</v>
      </c>
      <c r="C45" s="311">
        <v>225</v>
      </c>
      <c r="D45" s="311">
        <v>789</v>
      </c>
      <c r="E45" s="300">
        <v>677</v>
      </c>
      <c r="F45" s="300">
        <v>1174</v>
      </c>
    </row>
    <row r="46" spans="1:7" ht="15.75" thickBot="1">
      <c r="B46" s="307" t="s">
        <v>42</v>
      </c>
      <c r="C46" s="314">
        <f>+C45/C41</f>
        <v>3.1008820286659317E-2</v>
      </c>
      <c r="D46" s="314">
        <f t="shared" ref="D46:F46" si="1">+D45/D41</f>
        <v>5.154504475076762E-2</v>
      </c>
      <c r="E46" s="314">
        <f t="shared" si="1"/>
        <v>0.10415384615384615</v>
      </c>
      <c r="F46" s="314">
        <f t="shared" si="1"/>
        <v>9.428961529194442E-2</v>
      </c>
    </row>
    <row r="47" spans="1:7" ht="13.5" thickBot="1"/>
    <row r="48" spans="1:7" ht="15.75" thickBot="1">
      <c r="A48" s="1223" t="s">
        <v>1192</v>
      </c>
      <c r="B48" s="1223" t="s">
        <v>1193</v>
      </c>
      <c r="C48" s="1225" t="s">
        <v>1194</v>
      </c>
      <c r="D48" s="1226"/>
      <c r="E48" s="1225" t="s">
        <v>1071</v>
      </c>
      <c r="F48" s="1226"/>
      <c r="G48" s="315" t="s">
        <v>1195</v>
      </c>
    </row>
    <row r="49" spans="1:7" ht="18.75" thickBot="1">
      <c r="A49" s="1224"/>
      <c r="B49" s="1224"/>
      <c r="C49" s="316" t="s">
        <v>1117</v>
      </c>
      <c r="D49" s="316" t="s">
        <v>1166</v>
      </c>
      <c r="E49" s="316" t="s">
        <v>1117</v>
      </c>
      <c r="F49" s="317" t="s">
        <v>1166</v>
      </c>
      <c r="G49" s="317" t="s">
        <v>1196</v>
      </c>
    </row>
    <row r="50" spans="1:7" ht="18.75" thickBot="1">
      <c r="A50" s="318">
        <v>1</v>
      </c>
      <c r="B50" s="319" t="s">
        <v>1197</v>
      </c>
      <c r="C50" s="320">
        <f>+C18/C10</f>
        <v>0</v>
      </c>
      <c r="D50" s="320">
        <f>+D18/D10</f>
        <v>1.3574644165996427E-3</v>
      </c>
      <c r="E50" s="320">
        <f>+E18/E10</f>
        <v>4.8390587422824302E-3</v>
      </c>
      <c r="F50" s="320">
        <f>+F18/F10</f>
        <v>6.1181079545526438E-3</v>
      </c>
      <c r="G50" s="322">
        <v>1.29E-2</v>
      </c>
    </row>
    <row r="51" spans="1:7" ht="18.75" thickBot="1">
      <c r="A51" s="318">
        <v>2</v>
      </c>
      <c r="B51" s="319" t="s">
        <v>1198</v>
      </c>
      <c r="C51" s="320">
        <f>+C12/C8</f>
        <v>0</v>
      </c>
      <c r="D51" s="320">
        <f>+D12/D8</f>
        <v>0.48864018546485538</v>
      </c>
      <c r="E51" s="320">
        <f t="shared" ref="E51:G51" si="2">+E12/E8</f>
        <v>0.93849468925108359</v>
      </c>
      <c r="F51" s="320">
        <f t="shared" si="2"/>
        <v>0.93638385853745365</v>
      </c>
      <c r="G51" s="320" t="e">
        <f t="shared" si="2"/>
        <v>#DIV/0!</v>
      </c>
    </row>
    <row r="52" spans="1:7" ht="18.75" thickBot="1">
      <c r="A52" s="318">
        <v>3</v>
      </c>
      <c r="B52" s="319" t="s">
        <v>1199</v>
      </c>
      <c r="C52" s="320" t="e">
        <f>+C12/C17</f>
        <v>#DIV/0!</v>
      </c>
      <c r="D52" s="320">
        <f t="shared" ref="D52:G52" si="3">+D12/D17</f>
        <v>0.94573729123382699</v>
      </c>
      <c r="E52" s="320">
        <f t="shared" si="3"/>
        <v>0.93227089686449294</v>
      </c>
      <c r="F52" s="320">
        <f t="shared" si="3"/>
        <v>0.93093324404189737</v>
      </c>
      <c r="G52" s="320" t="e">
        <f t="shared" si="3"/>
        <v>#DIV/0!</v>
      </c>
    </row>
    <row r="53" spans="1:7" ht="18.75" thickBot="1">
      <c r="A53" s="318">
        <v>4</v>
      </c>
      <c r="B53" s="319" t="s">
        <v>1200</v>
      </c>
      <c r="C53" s="320" t="e">
        <f>13.26/0%</f>
        <v>#DIV/0!</v>
      </c>
      <c r="D53" s="323" t="e">
        <f>31.41/0</f>
        <v>#DIV/0!</v>
      </c>
      <c r="F53" s="320">
        <f>36.22/7880.53</f>
        <v>4.5961375694274368E-3</v>
      </c>
      <c r="G53" s="322">
        <v>9.7999999999999997E-3</v>
      </c>
    </row>
    <row r="54" spans="1:7" ht="18.75" thickBot="1">
      <c r="A54" s="318">
        <v>5</v>
      </c>
      <c r="B54" s="319" t="s">
        <v>1201</v>
      </c>
      <c r="C54" s="320">
        <v>6.5600000000000006E-2</v>
      </c>
      <c r="D54" s="321"/>
      <c r="E54" s="320">
        <v>7.3599999999999999E-2</v>
      </c>
      <c r="F54" s="321"/>
      <c r="G54" s="322">
        <v>7.3599999999999999E-2</v>
      </c>
    </row>
  </sheetData>
  <mergeCells count="14">
    <mergeCell ref="A48:A49"/>
    <mergeCell ref="B48:B49"/>
    <mergeCell ref="C48:D48"/>
    <mergeCell ref="E48:F48"/>
    <mergeCell ref="B2:F2"/>
    <mergeCell ref="B3:F3"/>
    <mergeCell ref="B4:B5"/>
    <mergeCell ref="E4:F4"/>
    <mergeCell ref="C4:D4"/>
    <mergeCell ref="B20:B21"/>
    <mergeCell ref="C20:D20"/>
    <mergeCell ref="E20:F20"/>
    <mergeCell ref="C33:D33"/>
    <mergeCell ref="E33:F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R120"/>
  <sheetViews>
    <sheetView view="pageBreakPreview" topLeftCell="A98" zoomScale="90" zoomScaleSheetLayoutView="90" workbookViewId="0">
      <selection activeCell="K122" sqref="K122"/>
    </sheetView>
  </sheetViews>
  <sheetFormatPr defaultRowHeight="15"/>
  <cols>
    <col min="1" max="1" width="6.28515625" style="729" customWidth="1"/>
    <col min="2" max="2" width="0.5703125" style="729" hidden="1" customWidth="1"/>
    <col min="3" max="3" width="35.28515625" style="797" customWidth="1"/>
    <col min="4" max="4" width="13.42578125" style="797" customWidth="1"/>
    <col min="5" max="5" width="19" style="726" bestFit="1" customWidth="1"/>
    <col min="6" max="6" width="14" style="726" customWidth="1"/>
    <col min="7" max="7" width="14.7109375" style="726" customWidth="1"/>
    <col min="8" max="8" width="12.85546875" style="726" customWidth="1"/>
    <col min="9" max="9" width="15.85546875" style="726" customWidth="1"/>
    <col min="10" max="10" width="15.5703125" style="726" customWidth="1"/>
    <col min="11" max="11" width="16.42578125" style="727" bestFit="1" customWidth="1"/>
    <col min="12" max="12" width="19.7109375" style="728" bestFit="1" customWidth="1"/>
    <col min="13" max="13" width="3.85546875" style="728" customWidth="1"/>
    <col min="14" max="14" width="11.7109375" style="727" bestFit="1" customWidth="1"/>
    <col min="15" max="15" width="16.28515625" style="727" customWidth="1"/>
    <col min="16" max="16384" width="9.140625" style="727"/>
  </cols>
  <sheetData>
    <row r="1" spans="1:13" ht="22.5">
      <c r="A1" s="1104" t="s">
        <v>1500</v>
      </c>
      <c r="B1" s="1104"/>
      <c r="C1" s="1104"/>
      <c r="D1" s="1104"/>
      <c r="E1" s="1104"/>
      <c r="F1" s="1104"/>
      <c r="G1" s="1104"/>
      <c r="H1" s="1104"/>
    </row>
    <row r="2" spans="1:13" ht="2.25" hidden="1" customHeight="1">
      <c r="C2" s="730"/>
      <c r="D2" s="730"/>
    </row>
    <row r="3" spans="1:13" ht="23.25" thickBot="1">
      <c r="A3" s="1104" t="s">
        <v>1501</v>
      </c>
      <c r="B3" s="1104"/>
      <c r="C3" s="1104"/>
      <c r="D3" s="1104"/>
      <c r="E3" s="1104"/>
      <c r="F3" s="1104"/>
      <c r="G3" s="1104"/>
      <c r="H3" s="1104"/>
      <c r="I3" s="1105" t="s">
        <v>1502</v>
      </c>
      <c r="J3" s="1105"/>
    </row>
    <row r="4" spans="1:13" ht="3" hidden="1" customHeight="1" thickBot="1">
      <c r="A4" s="731"/>
      <c r="B4" s="731"/>
      <c r="C4" s="731"/>
      <c r="D4" s="731"/>
      <c r="E4" s="732"/>
      <c r="F4" s="732"/>
      <c r="G4" s="732"/>
      <c r="H4" s="732"/>
      <c r="I4" s="733"/>
      <c r="J4" s="733"/>
    </row>
    <row r="5" spans="1:13" ht="29.25" customHeight="1" thickBot="1">
      <c r="A5" s="734"/>
      <c r="B5" s="735"/>
      <c r="C5" s="736"/>
      <c r="D5" s="737"/>
      <c r="E5" s="1098" t="str">
        <f>'Glance-SOP'!E63</f>
        <v>Current Year 23-24 ***</v>
      </c>
      <c r="F5" s="1099"/>
      <c r="G5" s="1098" t="str">
        <f>'Glance-SOP'!G63</f>
        <v>Previous  Year 22-23*</v>
      </c>
      <c r="H5" s="1099"/>
      <c r="I5" s="1106" t="s">
        <v>1435</v>
      </c>
      <c r="J5" s="1101"/>
    </row>
    <row r="6" spans="1:13" ht="0.75" hidden="1" customHeight="1" thickBot="1">
      <c r="A6" s="738"/>
      <c r="B6" s="739"/>
      <c r="C6" s="740" t="s">
        <v>1503</v>
      </c>
      <c r="D6" s="740"/>
      <c r="E6" s="741"/>
      <c r="F6" s="741"/>
      <c r="G6" s="741"/>
      <c r="H6" s="741"/>
      <c r="I6" s="742"/>
      <c r="J6" s="743"/>
    </row>
    <row r="7" spans="1:13" s="752" customFormat="1" ht="45.75" thickBot="1">
      <c r="A7" s="744"/>
      <c r="B7" s="745"/>
      <c r="C7" s="746"/>
      <c r="D7" s="747"/>
      <c r="E7" s="748" t="str">
        <f>'Glance-SOP'!E65</f>
        <v>4th Quarter Jan'24 to Mar'24</v>
      </c>
      <c r="F7" s="749" t="str">
        <f>'Glance-SOP'!F65</f>
        <v xml:space="preserve">Cumulative Up to 4th quarter </v>
      </c>
      <c r="G7" s="748" t="str">
        <f>'Glance-SOP'!G65</f>
        <v>4th Quarter Jan'23 to Mar'23</v>
      </c>
      <c r="H7" s="749" t="str">
        <f>'Glance-SOP'!H65</f>
        <v xml:space="preserve">Cumulative Up to 4th quarter </v>
      </c>
      <c r="I7" s="750" t="str">
        <f>'Glance-SOP'!I65</f>
        <v>4th  Quarter</v>
      </c>
      <c r="J7" s="751" t="str">
        <f>'Glance-SOP'!J65</f>
        <v>Cumulative up to 4th  Qtr</v>
      </c>
      <c r="L7" s="753"/>
      <c r="M7" s="753"/>
    </row>
    <row r="8" spans="1:13" s="759" customFormat="1" ht="18">
      <c r="A8" s="754" t="s">
        <v>1504</v>
      </c>
      <c r="B8" s="755"/>
      <c r="C8" s="756" t="s">
        <v>1505</v>
      </c>
      <c r="D8" s="756"/>
      <c r="E8" s="757"/>
      <c r="F8" s="758"/>
      <c r="G8" s="757"/>
      <c r="H8" s="758"/>
      <c r="I8" s="757"/>
      <c r="J8" s="758"/>
      <c r="L8" s="760"/>
      <c r="M8" s="760"/>
    </row>
    <row r="9" spans="1:13">
      <c r="A9" s="761"/>
      <c r="B9" s="762"/>
      <c r="C9" s="763" t="s">
        <v>1473</v>
      </c>
      <c r="D9" s="764"/>
      <c r="E9" s="765">
        <f>'HT-SOP'!C12+'HT-SOP'!C14+'HT-SOP'!C16+'HT-SOP'!C30</f>
        <v>6142</v>
      </c>
      <c r="F9" s="765">
        <f>E9</f>
        <v>6142</v>
      </c>
      <c r="G9" s="765">
        <v>5507</v>
      </c>
      <c r="H9" s="766">
        <v>5507</v>
      </c>
      <c r="I9" s="767">
        <f>+(E9-G9)/G9*100</f>
        <v>11.530779008534592</v>
      </c>
      <c r="J9" s="768">
        <f>+(F9-H9)/H9*100</f>
        <v>11.530779008534592</v>
      </c>
    </row>
    <row r="10" spans="1:13">
      <c r="A10" s="761"/>
      <c r="B10" s="762"/>
      <c r="C10" s="763" t="s">
        <v>1506</v>
      </c>
      <c r="D10" s="764"/>
      <c r="E10" s="769"/>
      <c r="F10" s="769"/>
      <c r="G10" s="770"/>
      <c r="H10" s="771"/>
      <c r="I10" s="767"/>
      <c r="J10" s="768"/>
    </row>
    <row r="11" spans="1:13">
      <c r="A11" s="761"/>
      <c r="B11" s="762"/>
      <c r="C11" s="763" t="s">
        <v>1507</v>
      </c>
      <c r="D11" s="764"/>
      <c r="E11" s="769"/>
      <c r="F11" s="769"/>
      <c r="G11" s="770"/>
      <c r="H11" s="771"/>
      <c r="I11" s="767"/>
      <c r="J11" s="768"/>
    </row>
    <row r="12" spans="1:13">
      <c r="A12" s="761"/>
      <c r="B12" s="762"/>
      <c r="C12" s="772" t="s">
        <v>1508</v>
      </c>
      <c r="D12" s="773"/>
      <c r="E12" s="774">
        <f>E9+E10+E11</f>
        <v>6142</v>
      </c>
      <c r="F12" s="774">
        <f>F9+F10+F11</f>
        <v>6142</v>
      </c>
      <c r="G12" s="775">
        <f>+G9</f>
        <v>5507</v>
      </c>
      <c r="H12" s="776">
        <f>SUM(H9:H11)</f>
        <v>5507</v>
      </c>
      <c r="I12" s="767">
        <f t="shared" ref="I12:J20" si="0">+(E12-G12)/G12*100</f>
        <v>11.530779008534592</v>
      </c>
      <c r="J12" s="768">
        <f t="shared" si="0"/>
        <v>11.530779008534592</v>
      </c>
      <c r="K12" s="777">
        <f>G12-E12</f>
        <v>-635</v>
      </c>
    </row>
    <row r="13" spans="1:13">
      <c r="A13" s="761"/>
      <c r="B13" s="762"/>
      <c r="C13" s="763" t="s">
        <v>1509</v>
      </c>
      <c r="D13" s="764"/>
      <c r="E13" s="765">
        <f>'LT-SOP-12 Month'!D55</f>
        <v>2910981</v>
      </c>
      <c r="F13" s="765">
        <f>E13</f>
        <v>2910981</v>
      </c>
      <c r="G13" s="765">
        <v>2825990</v>
      </c>
      <c r="H13" s="765">
        <v>2825990</v>
      </c>
      <c r="I13" s="767">
        <f t="shared" si="0"/>
        <v>3.0074770257502679</v>
      </c>
      <c r="J13" s="768">
        <f t="shared" si="0"/>
        <v>3.0074770257502679</v>
      </c>
      <c r="K13" s="777">
        <f>G13-E13</f>
        <v>-84991</v>
      </c>
    </row>
    <row r="14" spans="1:13">
      <c r="A14" s="761"/>
      <c r="B14" s="762"/>
      <c r="C14" s="763" t="s">
        <v>1182</v>
      </c>
      <c r="D14" s="764"/>
      <c r="E14" s="765">
        <f>'LT-SOP-12 Month'!D56</f>
        <v>30192</v>
      </c>
      <c r="F14" s="765">
        <f>E14</f>
        <v>30192</v>
      </c>
      <c r="G14" s="765">
        <v>29341</v>
      </c>
      <c r="H14" s="765">
        <v>29341</v>
      </c>
      <c r="I14" s="767">
        <f t="shared" si="0"/>
        <v>2.9003783102143759</v>
      </c>
      <c r="J14" s="768">
        <f t="shared" si="0"/>
        <v>2.9003783102143759</v>
      </c>
      <c r="K14" s="777">
        <f>G14-E14</f>
        <v>-851</v>
      </c>
    </row>
    <row r="15" spans="1:13">
      <c r="A15" s="761"/>
      <c r="B15" s="762"/>
      <c r="C15" s="763" t="s">
        <v>1510</v>
      </c>
      <c r="D15" s="764"/>
      <c r="E15" s="765">
        <f>'LT-SOP-12 Month'!D57</f>
        <v>520994</v>
      </c>
      <c r="F15" s="765">
        <f>E15</f>
        <v>520994</v>
      </c>
      <c r="G15" s="765">
        <v>508670</v>
      </c>
      <c r="H15" s="765">
        <v>508670</v>
      </c>
      <c r="I15" s="767">
        <f t="shared" si="0"/>
        <v>2.4227888414885879</v>
      </c>
      <c r="J15" s="768">
        <f t="shared" si="0"/>
        <v>2.4227888414885879</v>
      </c>
      <c r="K15" s="777">
        <f>G15-E15</f>
        <v>-12324</v>
      </c>
    </row>
    <row r="16" spans="1:13">
      <c r="A16" s="761"/>
      <c r="B16" s="762"/>
      <c r="C16" s="763" t="s">
        <v>1511</v>
      </c>
      <c r="D16" s="764"/>
      <c r="E16" s="765">
        <f>'LT-SOP-12 Month'!D58</f>
        <v>41672</v>
      </c>
      <c r="F16" s="765">
        <f>E16</f>
        <v>41672</v>
      </c>
      <c r="G16" s="765">
        <v>39429</v>
      </c>
      <c r="H16" s="765">
        <v>39429</v>
      </c>
      <c r="I16" s="767">
        <f t="shared" si="0"/>
        <v>5.6887062821780923</v>
      </c>
      <c r="J16" s="768">
        <f t="shared" si="0"/>
        <v>5.6887062821780923</v>
      </c>
      <c r="K16" s="777">
        <f>G16-E16</f>
        <v>-2243</v>
      </c>
    </row>
    <row r="17" spans="1:13">
      <c r="A17" s="761"/>
      <c r="B17" s="762"/>
      <c r="C17" s="772" t="s">
        <v>1512</v>
      </c>
      <c r="D17" s="773"/>
      <c r="E17" s="774">
        <f>SUM(E13:E16)</f>
        <v>3503839</v>
      </c>
      <c r="F17" s="774">
        <f>SUM(F13:F16)</f>
        <v>3503839</v>
      </c>
      <c r="G17" s="774">
        <f t="shared" ref="G17:H17" si="1">SUM(G13:G16)</f>
        <v>3403430</v>
      </c>
      <c r="H17" s="774">
        <f t="shared" si="1"/>
        <v>3403430</v>
      </c>
      <c r="I17" s="767">
        <f>+(E17-G17)/G17*100</f>
        <v>2.9502296212938122</v>
      </c>
      <c r="J17" s="768">
        <f t="shared" si="0"/>
        <v>2.9502296212938122</v>
      </c>
    </row>
    <row r="18" spans="1:13">
      <c r="A18" s="761"/>
      <c r="B18" s="762"/>
      <c r="C18" s="763" t="s">
        <v>1513</v>
      </c>
      <c r="D18" s="764"/>
      <c r="E18" s="765">
        <f>'LT-SOP-12 Month'!D59</f>
        <v>236135</v>
      </c>
      <c r="F18" s="765">
        <f>+E18</f>
        <v>236135</v>
      </c>
      <c r="G18" s="765">
        <v>219618</v>
      </c>
      <c r="H18" s="765">
        <v>219618</v>
      </c>
      <c r="I18" s="767">
        <f t="shared" si="0"/>
        <v>7.5207860922146637</v>
      </c>
      <c r="J18" s="768">
        <f t="shared" si="0"/>
        <v>7.5207860922146637</v>
      </c>
      <c r="K18" s="777">
        <f>G18-E18</f>
        <v>-16517</v>
      </c>
    </row>
    <row r="19" spans="1:13">
      <c r="A19" s="761"/>
      <c r="B19" s="762"/>
      <c r="C19" s="772" t="s">
        <v>1514</v>
      </c>
      <c r="D19" s="772"/>
      <c r="E19" s="779">
        <f>SUM(E17:E18)</f>
        <v>3739974</v>
      </c>
      <c r="F19" s="778">
        <f>SUM(F17:F18)</f>
        <v>3739974</v>
      </c>
      <c r="G19" s="778">
        <f t="shared" ref="G19:H19" si="2">SUM(G17:G18)</f>
        <v>3623048</v>
      </c>
      <c r="H19" s="778">
        <f t="shared" si="2"/>
        <v>3623048</v>
      </c>
      <c r="I19" s="767">
        <f t="shared" si="0"/>
        <v>3.2272826636577823</v>
      </c>
      <c r="J19" s="768">
        <f t="shared" si="0"/>
        <v>3.2272826636577823</v>
      </c>
    </row>
    <row r="20" spans="1:13" s="759" customFormat="1" ht="18.75" thickBot="1">
      <c r="A20" s="780"/>
      <c r="B20" s="781"/>
      <c r="C20" s="782" t="s">
        <v>1515</v>
      </c>
      <c r="D20" s="782"/>
      <c r="E20" s="783">
        <f>E19+E12</f>
        <v>3746116</v>
      </c>
      <c r="F20" s="783">
        <f>F19+F12</f>
        <v>3746116</v>
      </c>
      <c r="G20" s="783">
        <v>3628555</v>
      </c>
      <c r="H20" s="783">
        <v>3628555</v>
      </c>
      <c r="I20" s="784">
        <f t="shared" si="0"/>
        <v>3.2398847475096839</v>
      </c>
      <c r="J20" s="785">
        <f t="shared" si="0"/>
        <v>3.2398847475096839</v>
      </c>
      <c r="L20" s="760"/>
      <c r="M20" s="760"/>
    </row>
    <row r="21" spans="1:13" ht="0.75" customHeight="1" thickBot="1">
      <c r="A21" s="738"/>
      <c r="B21" s="762"/>
      <c r="C21" s="786"/>
      <c r="D21" s="786"/>
      <c r="E21" s="787"/>
      <c r="F21" s="788"/>
      <c r="G21" s="787"/>
      <c r="H21" s="788"/>
      <c r="I21" s="789" t="e">
        <f>+(E21-G21)/G21*100</f>
        <v>#DIV/0!</v>
      </c>
      <c r="J21" s="790"/>
    </row>
    <row r="22" spans="1:13" s="759" customFormat="1" ht="18">
      <c r="A22" s="754" t="s">
        <v>1516</v>
      </c>
      <c r="B22" s="781"/>
      <c r="C22" s="756" t="s">
        <v>1517</v>
      </c>
      <c r="D22" s="756"/>
      <c r="E22" s="757"/>
      <c r="F22" s="758"/>
      <c r="G22" s="757"/>
      <c r="H22" s="758"/>
      <c r="I22" s="757"/>
      <c r="J22" s="758"/>
      <c r="L22" s="760"/>
      <c r="M22" s="760"/>
    </row>
    <row r="23" spans="1:13">
      <c r="A23" s="761"/>
      <c r="B23" s="762"/>
      <c r="C23" s="763" t="s">
        <v>1473</v>
      </c>
      <c r="D23" s="791" t="s">
        <v>1518</v>
      </c>
      <c r="E23" s="792">
        <f>F23-12086</f>
        <v>3902.6764617199988</v>
      </c>
      <c r="F23" s="792">
        <v>15988.676461719999</v>
      </c>
      <c r="G23" s="792">
        <v>3996</v>
      </c>
      <c r="H23" s="766">
        <v>16034</v>
      </c>
      <c r="I23" s="767">
        <f>+(E23-G23)/G23*100</f>
        <v>-2.3354238808809118</v>
      </c>
      <c r="J23" s="768">
        <f>+(F23-H23)/H23*100</f>
        <v>-0.28267143744543616</v>
      </c>
      <c r="K23" s="727" t="s">
        <v>1509</v>
      </c>
      <c r="L23" s="728">
        <v>3820.38751</v>
      </c>
    </row>
    <row r="24" spans="1:13">
      <c r="A24" s="761"/>
      <c r="B24" s="762"/>
      <c r="C24" s="763" t="s">
        <v>1506</v>
      </c>
      <c r="D24" s="791" t="s">
        <v>1518</v>
      </c>
      <c r="E24" s="793"/>
      <c r="F24" s="766"/>
      <c r="G24" s="793"/>
      <c r="H24" s="766"/>
      <c r="I24" s="767"/>
      <c r="J24" s="768"/>
      <c r="K24" s="727" t="s">
        <v>1182</v>
      </c>
      <c r="L24" s="728">
        <v>132.63622799999999</v>
      </c>
    </row>
    <row r="25" spans="1:13">
      <c r="A25" s="761"/>
      <c r="B25" s="762"/>
      <c r="C25" s="763" t="s">
        <v>1507</v>
      </c>
      <c r="D25" s="791" t="s">
        <v>1518</v>
      </c>
      <c r="E25" s="793">
        <f>F25-0</f>
        <v>1</v>
      </c>
      <c r="F25" s="766">
        <v>1</v>
      </c>
      <c r="G25" s="793">
        <v>0</v>
      </c>
      <c r="H25" s="766">
        <v>0</v>
      </c>
      <c r="I25" s="767">
        <v>100</v>
      </c>
      <c r="J25" s="768">
        <v>100</v>
      </c>
      <c r="K25" s="727" t="s">
        <v>1712</v>
      </c>
      <c r="L25" s="728">
        <v>8180.1640770000004</v>
      </c>
    </row>
    <row r="26" spans="1:13" s="797" customFormat="1">
      <c r="A26" s="761"/>
      <c r="B26" s="762"/>
      <c r="C26" s="772" t="s">
        <v>1508</v>
      </c>
      <c r="D26" s="791" t="s">
        <v>1518</v>
      </c>
      <c r="E26" s="779">
        <f>SUM(E23:E25)</f>
        <v>3903.6764617199988</v>
      </c>
      <c r="F26" s="779">
        <f t="shared" ref="F26:H26" si="3">SUM(F23:F25)</f>
        <v>15989.676461719999</v>
      </c>
      <c r="G26" s="779">
        <f t="shared" si="3"/>
        <v>3996</v>
      </c>
      <c r="H26" s="779">
        <f t="shared" si="3"/>
        <v>16034</v>
      </c>
      <c r="I26" s="794">
        <f t="shared" ref="I26:J34" si="4">+(E26-G26)/G26*100</f>
        <v>-2.3103988558558863</v>
      </c>
      <c r="J26" s="795">
        <f t="shared" si="4"/>
        <v>-0.27643469053262582</v>
      </c>
      <c r="K26" s="779" t="s">
        <v>1184</v>
      </c>
      <c r="L26" s="796">
        <v>15988.676461719999</v>
      </c>
      <c r="M26" s="796"/>
    </row>
    <row r="27" spans="1:13">
      <c r="A27" s="761"/>
      <c r="B27" s="762"/>
      <c r="C27" s="763" t="s">
        <v>1509</v>
      </c>
      <c r="D27" s="791" t="s">
        <v>1518</v>
      </c>
      <c r="E27" s="792">
        <f>F27-3058</f>
        <v>762.38751000000002</v>
      </c>
      <c r="F27" s="792">
        <f>L23</f>
        <v>3820.38751</v>
      </c>
      <c r="G27" s="792">
        <v>787</v>
      </c>
      <c r="H27" s="792">
        <v>3713</v>
      </c>
      <c r="I27" s="767">
        <f t="shared" si="4"/>
        <v>-3.1273811944091463</v>
      </c>
      <c r="J27" s="768">
        <f t="shared" si="4"/>
        <v>2.8922033396175606</v>
      </c>
      <c r="K27" s="727" t="s">
        <v>1713</v>
      </c>
      <c r="L27" s="728">
        <v>0</v>
      </c>
    </row>
    <row r="28" spans="1:13">
      <c r="A28" s="761"/>
      <c r="B28" s="762"/>
      <c r="C28" s="798" t="s">
        <v>1182</v>
      </c>
      <c r="D28" s="799" t="s">
        <v>1518</v>
      </c>
      <c r="E28" s="792">
        <f>F28-100</f>
        <v>32.636227999999988</v>
      </c>
      <c r="F28" s="792">
        <f>L24</f>
        <v>132.63622799999999</v>
      </c>
      <c r="G28" s="792">
        <v>30</v>
      </c>
      <c r="H28" s="792">
        <v>126</v>
      </c>
      <c r="I28" s="767">
        <f>+(E28-G28)/G28*100</f>
        <v>8.7874266666666276</v>
      </c>
      <c r="J28" s="768">
        <f t="shared" si="4"/>
        <v>5.2668476190476099</v>
      </c>
      <c r="K28" s="727" t="s">
        <v>1714</v>
      </c>
      <c r="L28" s="728">
        <v>13.235614</v>
      </c>
    </row>
    <row r="29" spans="1:13">
      <c r="A29" s="761"/>
      <c r="B29" s="762"/>
      <c r="C29" s="763" t="s">
        <v>1510</v>
      </c>
      <c r="D29" s="791" t="s">
        <v>1518</v>
      </c>
      <c r="E29" s="792">
        <f>F29-6046</f>
        <v>2134.1640770000004</v>
      </c>
      <c r="F29" s="792">
        <f>L25</f>
        <v>8180.1640770000004</v>
      </c>
      <c r="G29" s="792">
        <v>1924</v>
      </c>
      <c r="H29" s="792">
        <v>7410</v>
      </c>
      <c r="I29" s="767">
        <f t="shared" si="4"/>
        <v>10.923288825363844</v>
      </c>
      <c r="J29" s="768">
        <f t="shared" si="4"/>
        <v>10.393577287449398</v>
      </c>
      <c r="K29" s="727" t="s">
        <v>1715</v>
      </c>
      <c r="L29" s="728">
        <v>1073.6115769999999</v>
      </c>
    </row>
    <row r="30" spans="1:13">
      <c r="A30" s="761"/>
      <c r="B30" s="762"/>
      <c r="C30" s="763" t="s">
        <v>1511</v>
      </c>
      <c r="D30" s="791" t="s">
        <v>1518</v>
      </c>
      <c r="E30" s="792">
        <f>F30-263</f>
        <v>95.070119999999974</v>
      </c>
      <c r="F30" s="792">
        <f>L30+L28</f>
        <v>358.07011999999997</v>
      </c>
      <c r="G30" s="792">
        <v>95</v>
      </c>
      <c r="H30" s="792">
        <v>334</v>
      </c>
      <c r="I30" s="767">
        <f t="shared" si="4"/>
        <v>7.3810526315762556E-2</v>
      </c>
      <c r="J30" s="768">
        <f t="shared" si="4"/>
        <v>7.2066227544910095</v>
      </c>
      <c r="K30" s="727" t="s">
        <v>1716</v>
      </c>
      <c r="L30" s="728">
        <v>344.83450599999998</v>
      </c>
    </row>
    <row r="31" spans="1:13">
      <c r="A31" s="761"/>
      <c r="B31" s="762"/>
      <c r="C31" s="772" t="s">
        <v>1512</v>
      </c>
      <c r="D31" s="791" t="s">
        <v>1518</v>
      </c>
      <c r="E31" s="779">
        <f>SUM(E27:E30)</f>
        <v>3024.2579350000001</v>
      </c>
      <c r="F31" s="779">
        <f t="shared" ref="F31:H31" si="5">SUM(F27:F30)</f>
        <v>12491.257935000001</v>
      </c>
      <c r="G31" s="779">
        <f t="shared" si="5"/>
        <v>2836</v>
      </c>
      <c r="H31" s="779">
        <f t="shared" si="5"/>
        <v>11583</v>
      </c>
      <c r="I31" s="767">
        <f t="shared" si="4"/>
        <v>6.6381500352609342</v>
      </c>
      <c r="J31" s="768">
        <f t="shared" si="4"/>
        <v>7.8413013468013588</v>
      </c>
      <c r="K31" s="793" t="s">
        <v>1717</v>
      </c>
      <c r="L31" s="728">
        <v>29553.54597372</v>
      </c>
      <c r="M31" s="728">
        <v>21830.38</v>
      </c>
    </row>
    <row r="32" spans="1:13">
      <c r="A32" s="761"/>
      <c r="B32" s="762"/>
      <c r="C32" s="763" t="s">
        <v>1519</v>
      </c>
      <c r="D32" s="791" t="s">
        <v>1518</v>
      </c>
      <c r="E32" s="792">
        <f>F32-699</f>
        <v>374.6115769999999</v>
      </c>
      <c r="F32" s="792">
        <f>L29</f>
        <v>1073.6115769999999</v>
      </c>
      <c r="G32" s="792">
        <v>324</v>
      </c>
      <c r="H32" s="792">
        <v>1018</v>
      </c>
      <c r="I32" s="767">
        <f>+(E32-G32)/G32*100</f>
        <v>15.6208570987654</v>
      </c>
      <c r="J32" s="768">
        <f t="shared" si="4"/>
        <v>5.462826817288791</v>
      </c>
      <c r="K32" s="800" t="s">
        <v>8</v>
      </c>
      <c r="L32" s="728">
        <v>1.07125</v>
      </c>
      <c r="M32" s="728">
        <v>28034.63</v>
      </c>
    </row>
    <row r="33" spans="1:15">
      <c r="A33" s="761"/>
      <c r="B33" s="762"/>
      <c r="C33" s="772" t="s">
        <v>1514</v>
      </c>
      <c r="D33" s="791" t="s">
        <v>1518</v>
      </c>
      <c r="E33" s="779">
        <f>SUM(E31:E32)</f>
        <v>3398.8695120000002</v>
      </c>
      <c r="F33" s="778">
        <f>SUM(F31:F32)</f>
        <v>13564.869512000001</v>
      </c>
      <c r="G33" s="779">
        <f>SUM(G31:G32)</f>
        <v>3160</v>
      </c>
      <c r="H33" s="779">
        <f>SUM(H31:H32)</f>
        <v>12601</v>
      </c>
      <c r="I33" s="767">
        <f t="shared" si="4"/>
        <v>7.5591617721519055</v>
      </c>
      <c r="J33" s="768">
        <f t="shared" si="4"/>
        <v>7.6491509562733206</v>
      </c>
      <c r="K33" s="793"/>
      <c r="M33" s="728">
        <f>SUM(M31:M32)</f>
        <v>49865.01</v>
      </c>
    </row>
    <row r="34" spans="1:15" s="759" customFormat="1" ht="18.75" thickBot="1">
      <c r="A34" s="780"/>
      <c r="B34" s="801"/>
      <c r="C34" s="782" t="s">
        <v>1515</v>
      </c>
      <c r="D34" s="802" t="s">
        <v>1518</v>
      </c>
      <c r="E34" s="803">
        <f>E26+E33</f>
        <v>7302.545973719999</v>
      </c>
      <c r="F34" s="1024">
        <f>+F33+F26</f>
        <v>29554.54597372</v>
      </c>
      <c r="G34" s="1025">
        <f>G26+G33</f>
        <v>7156</v>
      </c>
      <c r="H34" s="803">
        <f>H26+H33</f>
        <v>28635</v>
      </c>
      <c r="I34" s="784">
        <f t="shared" si="4"/>
        <v>2.0478755410843905</v>
      </c>
      <c r="J34" s="785">
        <f t="shared" si="4"/>
        <v>3.2112658415226121</v>
      </c>
      <c r="K34" s="805"/>
      <c r="L34" s="760">
        <f>7661+7392+7198</f>
        <v>22251</v>
      </c>
      <c r="M34" s="760">
        <f>+M33/2</f>
        <v>24932.505000000001</v>
      </c>
      <c r="O34" s="759">
        <f>+M34/10^2</f>
        <v>249.32505</v>
      </c>
    </row>
    <row r="35" spans="1:15" ht="23.25" customHeight="1" thickBot="1">
      <c r="A35" s="1087" t="s">
        <v>1500</v>
      </c>
      <c r="B35" s="1088"/>
      <c r="C35" s="1088"/>
      <c r="D35" s="1088"/>
      <c r="E35" s="1088"/>
      <c r="F35" s="1088"/>
      <c r="G35" s="1088"/>
      <c r="H35" s="1088"/>
      <c r="I35" s="1088"/>
      <c r="J35" s="1089"/>
      <c r="K35" s="777"/>
      <c r="M35" s="728">
        <f>1727874.31-1612130.11-36579.19</f>
        <v>79165.009999999951</v>
      </c>
    </row>
    <row r="36" spans="1:15" ht="2.25" hidden="1" customHeight="1" thickBot="1">
      <c r="A36" s="806"/>
      <c r="B36" s="806"/>
      <c r="C36" s="807"/>
      <c r="D36" s="807"/>
      <c r="E36" s="788"/>
      <c r="F36" s="788"/>
      <c r="G36" s="788"/>
      <c r="H36" s="788"/>
      <c r="I36" s="788"/>
      <c r="J36" s="788"/>
    </row>
    <row r="37" spans="1:15" ht="23.25" thickBot="1">
      <c r="A37" s="1093" t="s">
        <v>1520</v>
      </c>
      <c r="B37" s="1094"/>
      <c r="C37" s="1094"/>
      <c r="D37" s="1094"/>
      <c r="E37" s="1094"/>
      <c r="F37" s="1094"/>
      <c r="G37" s="1094"/>
      <c r="H37" s="1095"/>
      <c r="I37" s="1096" t="s">
        <v>1521</v>
      </c>
      <c r="J37" s="1097"/>
      <c r="M37" s="728">
        <f>+M35/10^2</f>
        <v>791.6500999999995</v>
      </c>
      <c r="O37" s="808">
        <f>+(O34*365/M37)</f>
        <v>114.95437599262611</v>
      </c>
    </row>
    <row r="38" spans="1:15" ht="1.5" hidden="1" customHeight="1" thickBot="1">
      <c r="A38" s="809"/>
      <c r="B38" s="809"/>
      <c r="C38" s="809"/>
      <c r="D38" s="809"/>
      <c r="E38" s="810"/>
      <c r="F38" s="810"/>
      <c r="G38" s="810"/>
      <c r="H38" s="810"/>
      <c r="I38" s="811"/>
      <c r="J38" s="811"/>
    </row>
    <row r="39" spans="1:15" ht="34.5" customHeight="1" thickBot="1">
      <c r="A39" s="812"/>
      <c r="B39" s="813"/>
      <c r="C39" s="814"/>
      <c r="D39" s="814"/>
      <c r="E39" s="1098" t="str">
        <f>E5</f>
        <v>Current Year 23-24 ***</v>
      </c>
      <c r="F39" s="1099"/>
      <c r="G39" s="1098" t="str">
        <f>G5</f>
        <v>Previous  Year 22-23*</v>
      </c>
      <c r="H39" s="1099"/>
      <c r="I39" s="1100" t="s">
        <v>1435</v>
      </c>
      <c r="J39" s="1101"/>
    </row>
    <row r="40" spans="1:15" ht="3" hidden="1" customHeight="1" thickBot="1">
      <c r="A40" s="806"/>
      <c r="B40" s="806"/>
      <c r="C40" s="742"/>
      <c r="D40" s="742"/>
      <c r="E40" s="741"/>
      <c r="F40" s="741"/>
      <c r="G40" s="741"/>
      <c r="H40" s="741"/>
      <c r="I40" s="742"/>
      <c r="J40" s="742"/>
    </row>
    <row r="41" spans="1:15" ht="55.5" customHeight="1" thickBot="1">
      <c r="A41" s="812"/>
      <c r="B41" s="813"/>
      <c r="C41" s="815"/>
      <c r="D41" s="816"/>
      <c r="E41" s="817" t="str">
        <f t="shared" ref="E41:J41" si="6">E7</f>
        <v>4th Quarter Jan'24 to Mar'24</v>
      </c>
      <c r="F41" s="817" t="str">
        <f t="shared" si="6"/>
        <v xml:space="preserve">Cumulative Up to 4th quarter </v>
      </c>
      <c r="G41" s="817" t="str">
        <f t="shared" si="6"/>
        <v>4th Quarter Jan'23 to Mar'23</v>
      </c>
      <c r="H41" s="818" t="str">
        <f t="shared" si="6"/>
        <v xml:space="preserve">Cumulative Up to 4th quarter </v>
      </c>
      <c r="I41" s="819" t="str">
        <f t="shared" si="6"/>
        <v>4th  Quarter</v>
      </c>
      <c r="J41" s="818" t="str">
        <f t="shared" si="6"/>
        <v>Cumulative up to 4th  Qtr</v>
      </c>
    </row>
    <row r="42" spans="1:15" s="759" customFormat="1" ht="18">
      <c r="A42" s="820" t="s">
        <v>1522</v>
      </c>
      <c r="B42" s="821"/>
      <c r="C42" s="822" t="s">
        <v>1523</v>
      </c>
      <c r="D42" s="823"/>
      <c r="E42" s="757"/>
      <c r="F42" s="758"/>
      <c r="G42" s="757"/>
      <c r="H42" s="758"/>
      <c r="I42" s="757"/>
      <c r="J42" s="758"/>
      <c r="L42" s="760"/>
      <c r="M42" s="760"/>
    </row>
    <row r="43" spans="1:15" ht="15.75">
      <c r="A43" s="824"/>
      <c r="B43" s="825"/>
      <c r="C43" s="798" t="s">
        <v>1473</v>
      </c>
      <c r="D43" s="799" t="s">
        <v>1524</v>
      </c>
      <c r="E43" s="767">
        <f>+F43-10567.51</f>
        <v>2907.454099999999</v>
      </c>
      <c r="F43" s="767">
        <f>N46</f>
        <v>13474.964099999999</v>
      </c>
      <c r="G43" s="767">
        <v>3196.68</v>
      </c>
      <c r="H43" s="768">
        <v>12652.45</v>
      </c>
      <c r="I43" s="767">
        <f>+(E43-G43)/G43*100</f>
        <v>-9.0476963599734983</v>
      </c>
      <c r="J43" s="768">
        <f>+(F43-H43)/H43*100</f>
        <v>6.5008286932570254</v>
      </c>
      <c r="K43" s="1060" t="s">
        <v>1509</v>
      </c>
      <c r="L43" s="728">
        <v>263451.68</v>
      </c>
      <c r="N43" s="808">
        <f>L43/10^2</f>
        <v>2634.5167999999999</v>
      </c>
    </row>
    <row r="44" spans="1:15" ht="15.75">
      <c r="A44" s="824"/>
      <c r="B44" s="825"/>
      <c r="C44" s="798" t="s">
        <v>1506</v>
      </c>
      <c r="D44" s="799" t="s">
        <v>1524</v>
      </c>
      <c r="E44" s="793"/>
      <c r="F44" s="1042"/>
      <c r="G44" s="767"/>
      <c r="H44" s="768"/>
      <c r="I44" s="767"/>
      <c r="J44" s="768"/>
      <c r="K44" s="1060" t="s">
        <v>1182</v>
      </c>
      <c r="L44" s="728">
        <v>9642.83</v>
      </c>
      <c r="N44" s="808">
        <f t="shared" ref="N44:N55" si="7">L44/10^2</f>
        <v>96.428299999999993</v>
      </c>
    </row>
    <row r="45" spans="1:15" ht="15.75">
      <c r="A45" s="824"/>
      <c r="B45" s="825"/>
      <c r="C45" s="798" t="s">
        <v>1507</v>
      </c>
      <c r="D45" s="799" t="s">
        <v>1524</v>
      </c>
      <c r="E45" s="767">
        <f>F45-0</f>
        <v>1.0643796000000001</v>
      </c>
      <c r="F45" s="1042">
        <f>N52</f>
        <v>1.0643796000000001</v>
      </c>
      <c r="G45" s="767">
        <v>0</v>
      </c>
      <c r="H45" s="768">
        <v>0</v>
      </c>
      <c r="I45" s="767">
        <v>0</v>
      </c>
      <c r="J45" s="768">
        <v>0</v>
      </c>
      <c r="K45" s="1060" t="s">
        <v>1712</v>
      </c>
      <c r="L45" s="728">
        <v>677432.17</v>
      </c>
      <c r="N45" s="808">
        <f t="shared" si="7"/>
        <v>6774.3217000000004</v>
      </c>
    </row>
    <row r="46" spans="1:15" ht="15.75">
      <c r="A46" s="824"/>
      <c r="B46" s="825"/>
      <c r="C46" s="826" t="s">
        <v>1508</v>
      </c>
      <c r="D46" s="799" t="s">
        <v>1524</v>
      </c>
      <c r="E46" s="794">
        <f>SUM(E43:E45)</f>
        <v>2908.518479599999</v>
      </c>
      <c r="F46" s="1043">
        <f>SUM(F43:F45)</f>
        <v>13476.0284796</v>
      </c>
      <c r="G46" s="794">
        <f>SUM(G43:G45)</f>
        <v>3196.68</v>
      </c>
      <c r="H46" s="794">
        <f>SUM(H43:H45)</f>
        <v>12652.45</v>
      </c>
      <c r="I46" s="794">
        <f t="shared" ref="I46:J54" si="8">+(E46-G46)/G46*100</f>
        <v>-9.0143999524506953</v>
      </c>
      <c r="J46" s="795">
        <f t="shared" si="8"/>
        <v>6.5092411319546715</v>
      </c>
      <c r="K46" s="1060" t="s">
        <v>1184</v>
      </c>
      <c r="L46" s="728">
        <v>1347496.41</v>
      </c>
      <c r="N46" s="808">
        <f t="shared" si="7"/>
        <v>13474.964099999999</v>
      </c>
    </row>
    <row r="47" spans="1:15" ht="31.5">
      <c r="A47" s="824"/>
      <c r="B47" s="825"/>
      <c r="C47" s="798" t="s">
        <v>1509</v>
      </c>
      <c r="D47" s="799" t="s">
        <v>1524</v>
      </c>
      <c r="E47" s="767">
        <f>+F47-2170.74</f>
        <v>463.77680000000009</v>
      </c>
      <c r="F47" s="767">
        <f>N43</f>
        <v>2634.5167999999999</v>
      </c>
      <c r="G47" s="767">
        <v>505.03</v>
      </c>
      <c r="H47" s="768">
        <v>2361.81</v>
      </c>
      <c r="I47" s="767">
        <f t="shared" si="8"/>
        <v>-8.1684652396887074</v>
      </c>
      <c r="J47" s="768">
        <f t="shared" si="8"/>
        <v>11.546517289705774</v>
      </c>
      <c r="K47" s="1060" t="s">
        <v>1713</v>
      </c>
      <c r="L47" s="728">
        <v>0</v>
      </c>
      <c r="N47" s="808">
        <f t="shared" si="7"/>
        <v>0</v>
      </c>
    </row>
    <row r="48" spans="1:15" ht="31.5">
      <c r="A48" s="824"/>
      <c r="B48" s="825"/>
      <c r="C48" s="798" t="s">
        <v>1182</v>
      </c>
      <c r="D48" s="799" t="s">
        <v>1524</v>
      </c>
      <c r="E48" s="767">
        <f>+F48-74.88</f>
        <v>21.548299999999998</v>
      </c>
      <c r="F48" s="767">
        <f>N44</f>
        <v>96.428299999999993</v>
      </c>
      <c r="G48" s="767">
        <v>19.760000000000002</v>
      </c>
      <c r="H48" s="768">
        <v>84.56</v>
      </c>
      <c r="I48" s="767">
        <f t="shared" si="8"/>
        <v>9.0501012145748785</v>
      </c>
      <c r="J48" s="768">
        <f t="shared" si="8"/>
        <v>14.035359508041617</v>
      </c>
      <c r="K48" s="1060" t="s">
        <v>1714</v>
      </c>
      <c r="L48" s="728">
        <v>1111.45</v>
      </c>
      <c r="N48" s="808">
        <f t="shared" si="7"/>
        <v>11.1145</v>
      </c>
    </row>
    <row r="49" spans="1:17" ht="31.5">
      <c r="A49" s="824"/>
      <c r="B49" s="825"/>
      <c r="C49" s="798" t="s">
        <v>1510</v>
      </c>
      <c r="D49" s="799" t="s">
        <v>1524</v>
      </c>
      <c r="E49" s="767">
        <f>+F49-5088.96</f>
        <v>1685.3617000000004</v>
      </c>
      <c r="F49" s="767">
        <f>N45</f>
        <v>6774.3217000000004</v>
      </c>
      <c r="G49" s="767">
        <v>1491.72</v>
      </c>
      <c r="H49" s="768">
        <v>5723.81</v>
      </c>
      <c r="I49" s="767">
        <f t="shared" si="8"/>
        <v>12.981102351647786</v>
      </c>
      <c r="J49" s="768">
        <f t="shared" si="8"/>
        <v>18.353364280086165</v>
      </c>
      <c r="K49" s="1060" t="s">
        <v>1715</v>
      </c>
      <c r="L49" s="728">
        <v>46073.46</v>
      </c>
      <c r="N49" s="808">
        <f t="shared" si="7"/>
        <v>460.7346</v>
      </c>
    </row>
    <row r="50" spans="1:17" ht="63">
      <c r="A50" s="824"/>
      <c r="B50" s="825"/>
      <c r="C50" s="798" t="s">
        <v>1525</v>
      </c>
      <c r="D50" s="799" t="s">
        <v>1524</v>
      </c>
      <c r="E50" s="767">
        <f>+F50-193.12</f>
        <v>63.444000000000017</v>
      </c>
      <c r="F50" s="767">
        <f>N48+N50</f>
        <v>256.56400000000002</v>
      </c>
      <c r="G50" s="767">
        <v>59.27</v>
      </c>
      <c r="H50" s="768">
        <v>207.3</v>
      </c>
      <c r="I50" s="767">
        <f t="shared" si="8"/>
        <v>7.0423485743209264</v>
      </c>
      <c r="J50" s="768">
        <f t="shared" si="8"/>
        <v>23.764592378195857</v>
      </c>
      <c r="K50" s="1060" t="s">
        <v>1716</v>
      </c>
      <c r="L50" s="728">
        <v>24544.95</v>
      </c>
      <c r="N50" s="808">
        <f>L50/10^2</f>
        <v>245.4495</v>
      </c>
    </row>
    <row r="51" spans="1:17" ht="15.75">
      <c r="A51" s="824"/>
      <c r="B51" s="825"/>
      <c r="C51" s="826" t="s">
        <v>1512</v>
      </c>
      <c r="D51" s="799" t="s">
        <v>1524</v>
      </c>
      <c r="E51" s="794">
        <f>SUM(E47:E50)</f>
        <v>2234.1308000000004</v>
      </c>
      <c r="F51" s="1043">
        <f>SUM(F47:F50)</f>
        <v>9761.8308000000015</v>
      </c>
      <c r="G51" s="794">
        <f>SUM(G47:G50)</f>
        <v>2075.7800000000002</v>
      </c>
      <c r="H51" s="794">
        <f>SUM(H47:H50)</f>
        <v>8377.48</v>
      </c>
      <c r="I51" s="767">
        <f t="shared" si="8"/>
        <v>7.6284962760986303</v>
      </c>
      <c r="J51" s="768">
        <f t="shared" si="8"/>
        <v>16.524668516069298</v>
      </c>
      <c r="K51" s="1061" t="s">
        <v>1717</v>
      </c>
      <c r="L51" s="728">
        <v>2369752.9500000002</v>
      </c>
      <c r="N51" s="808">
        <f t="shared" si="7"/>
        <v>23697.529500000001</v>
      </c>
    </row>
    <row r="52" spans="1:17" ht="47.25">
      <c r="A52" s="824"/>
      <c r="B52" s="825"/>
      <c r="C52" s="798" t="s">
        <v>1513</v>
      </c>
      <c r="D52" s="799" t="s">
        <v>1524</v>
      </c>
      <c r="E52" s="767">
        <f>+F52-322</f>
        <v>138.7346</v>
      </c>
      <c r="F52" s="767">
        <f>N49</f>
        <v>460.7346</v>
      </c>
      <c r="G52" s="767">
        <v>113.82</v>
      </c>
      <c r="H52" s="768">
        <v>449.28</v>
      </c>
      <c r="I52" s="767">
        <f t="shared" si="8"/>
        <v>21.889474609031812</v>
      </c>
      <c r="J52" s="768">
        <f t="shared" si="8"/>
        <v>2.5495459401709466</v>
      </c>
      <c r="K52" s="1060" t="s">
        <v>8</v>
      </c>
      <c r="L52" s="728">
        <v>106.43796</v>
      </c>
      <c r="N52" s="808">
        <f t="shared" si="7"/>
        <v>1.0643796000000001</v>
      </c>
    </row>
    <row r="53" spans="1:17" ht="31.5">
      <c r="A53" s="824"/>
      <c r="B53" s="825"/>
      <c r="C53" s="826" t="s">
        <v>1514</v>
      </c>
      <c r="D53" s="799" t="s">
        <v>1524</v>
      </c>
      <c r="E53" s="794">
        <f>SUM(E51:E52)</f>
        <v>2372.8654000000006</v>
      </c>
      <c r="F53" s="1043">
        <f>SUM(F51:F52)</f>
        <v>10222.565400000001</v>
      </c>
      <c r="G53" s="794">
        <f>G51+G52</f>
        <v>2189.6000000000004</v>
      </c>
      <c r="H53" s="794">
        <f>H51+H52</f>
        <v>8826.76</v>
      </c>
      <c r="I53" s="767">
        <f t="shared" si="8"/>
        <v>8.3698118377785988</v>
      </c>
      <c r="J53" s="768">
        <f t="shared" si="8"/>
        <v>15.813338076485609</v>
      </c>
      <c r="K53" s="1060" t="s">
        <v>1718</v>
      </c>
      <c r="L53" s="728">
        <v>0</v>
      </c>
      <c r="N53" s="808">
        <f t="shared" si="7"/>
        <v>0</v>
      </c>
    </row>
    <row r="54" spans="1:17" s="797" customFormat="1" ht="18" customHeight="1" thickBot="1">
      <c r="A54" s="827"/>
      <c r="B54" s="825"/>
      <c r="C54" s="828" t="s">
        <v>1515</v>
      </c>
      <c r="D54" s="829"/>
      <c r="E54" s="839">
        <f>E53+E46</f>
        <v>5281.3838796</v>
      </c>
      <c r="F54" s="1044">
        <f>F53+F46</f>
        <v>23698.593879600001</v>
      </c>
      <c r="G54" s="1026">
        <f>G46+G53</f>
        <v>5386.2800000000007</v>
      </c>
      <c r="H54" s="1026">
        <f>H46+H53</f>
        <v>21479.21</v>
      </c>
      <c r="I54" s="839">
        <f t="shared" si="8"/>
        <v>-1.9474687613714965</v>
      </c>
      <c r="J54" s="840">
        <f t="shared" si="8"/>
        <v>10.332707206643084</v>
      </c>
      <c r="K54" s="1061" t="s">
        <v>1717</v>
      </c>
      <c r="L54" s="830">
        <v>2369859.38796</v>
      </c>
      <c r="M54" s="796"/>
      <c r="N54" s="808">
        <f>L54/10^2</f>
        <v>23698.593879600001</v>
      </c>
      <c r="O54" s="796">
        <f>6780.81-6805.18</f>
        <v>-24.369999999999891</v>
      </c>
    </row>
    <row r="55" spans="1:17" ht="2.25" hidden="1" customHeight="1" thickBot="1">
      <c r="A55" s="806"/>
      <c r="B55" s="831"/>
      <c r="C55" s="807"/>
      <c r="D55" s="832"/>
      <c r="E55" s="788"/>
      <c r="F55" s="789"/>
      <c r="G55" s="788"/>
      <c r="H55" s="788"/>
      <c r="I55" s="789"/>
      <c r="J55" s="789"/>
      <c r="K55" s="1060" t="s">
        <v>1719</v>
      </c>
      <c r="L55" s="728">
        <v>205891.8690603</v>
      </c>
      <c r="N55" s="808">
        <f t="shared" si="7"/>
        <v>2058.918690603</v>
      </c>
    </row>
    <row r="56" spans="1:17" s="759" customFormat="1" ht="18">
      <c r="A56" s="820" t="s">
        <v>1526</v>
      </c>
      <c r="B56" s="833"/>
      <c r="C56" s="822" t="s">
        <v>1472</v>
      </c>
      <c r="D56" s="822"/>
      <c r="E56" s="757"/>
      <c r="F56" s="758"/>
      <c r="G56" s="757"/>
      <c r="H56" s="758"/>
      <c r="I56" s="834"/>
      <c r="J56" s="835"/>
      <c r="K56" s="836"/>
      <c r="L56" s="836"/>
      <c r="M56" s="836"/>
      <c r="O56" s="837"/>
      <c r="P56" s="836"/>
      <c r="Q56" s="836"/>
    </row>
    <row r="57" spans="1:17">
      <c r="A57" s="824"/>
      <c r="B57" s="825"/>
      <c r="C57" s="798" t="s">
        <v>1473</v>
      </c>
      <c r="D57" s="799" t="s">
        <v>1527</v>
      </c>
      <c r="E57" s="793">
        <f>+E43/E23*1000</f>
        <v>744.98978547625177</v>
      </c>
      <c r="F57" s="766">
        <f>+F43/F23*1000</f>
        <v>842.78171068516428</v>
      </c>
      <c r="G57" s="766">
        <f t="shared" ref="G57:H57" si="9">+G43/G23*1000</f>
        <v>799.96996996996995</v>
      </c>
      <c r="H57" s="766">
        <f t="shared" si="9"/>
        <v>789.10128476986404</v>
      </c>
      <c r="I57" s="767">
        <f>+(E57-G57)/G57*100</f>
        <v>-6.8727810489913876</v>
      </c>
      <c r="J57" s="768">
        <f>+(F57-H57)/H57*100</f>
        <v>6.8027295039768916</v>
      </c>
    </row>
    <row r="58" spans="1:17">
      <c r="A58" s="824"/>
      <c r="B58" s="825"/>
      <c r="C58" s="798" t="s">
        <v>1506</v>
      </c>
      <c r="D58" s="799" t="s">
        <v>1527</v>
      </c>
      <c r="E58" s="793"/>
      <c r="F58" s="766"/>
      <c r="G58" s="793"/>
      <c r="H58" s="766"/>
      <c r="I58" s="767"/>
      <c r="J58" s="768"/>
    </row>
    <row r="59" spans="1:17">
      <c r="A59" s="824"/>
      <c r="B59" s="825"/>
      <c r="C59" s="798" t="s">
        <v>1507</v>
      </c>
      <c r="D59" s="799" t="s">
        <v>1527</v>
      </c>
      <c r="E59" s="793"/>
      <c r="F59" s="766"/>
      <c r="G59" s="793"/>
      <c r="H59" s="766"/>
      <c r="I59" s="767"/>
      <c r="J59" s="768"/>
    </row>
    <row r="60" spans="1:17">
      <c r="A60" s="824"/>
      <c r="B60" s="825"/>
      <c r="C60" s="826" t="s">
        <v>1508</v>
      </c>
      <c r="D60" s="799" t="s">
        <v>1527</v>
      </c>
      <c r="E60" s="779">
        <f t="shared" ref="E60:H68" si="10">+E46/E26*1000</f>
        <v>745.0716031723789</v>
      </c>
      <c r="F60" s="778">
        <f t="shared" si="10"/>
        <v>842.79556949524374</v>
      </c>
      <c r="G60" s="779">
        <f>SUM(G57:G59)</f>
        <v>799.96996996996995</v>
      </c>
      <c r="H60" s="779">
        <f>SUM(H57:H59)</f>
        <v>789.10128476986404</v>
      </c>
      <c r="I60" s="794">
        <f t="shared" ref="I60:J68" si="11">+(E60-G60)/G60*100</f>
        <v>-6.8625534530567283</v>
      </c>
      <c r="J60" s="795">
        <f t="shared" si="11"/>
        <v>6.8044857817002882</v>
      </c>
    </row>
    <row r="61" spans="1:17">
      <c r="A61" s="824"/>
      <c r="B61" s="825"/>
      <c r="C61" s="798" t="s">
        <v>1509</v>
      </c>
      <c r="D61" s="799" t="s">
        <v>1527</v>
      </c>
      <c r="E61" s="793">
        <f>+E47/E27*1000</f>
        <v>608.3216132436379</v>
      </c>
      <c r="F61" s="766">
        <f t="shared" si="10"/>
        <v>689.59412968031609</v>
      </c>
      <c r="G61" s="766">
        <f t="shared" si="10"/>
        <v>641.71537484116891</v>
      </c>
      <c r="H61" s="766">
        <f t="shared" si="10"/>
        <v>636.09210880689466</v>
      </c>
      <c r="I61" s="767">
        <f t="shared" si="11"/>
        <v>-5.2038275700962133</v>
      </c>
      <c r="J61" s="768">
        <f t="shared" si="11"/>
        <v>8.4110493012991636</v>
      </c>
    </row>
    <row r="62" spans="1:17">
      <c r="A62" s="824"/>
      <c r="B62" s="825"/>
      <c r="C62" s="798" t="s">
        <v>1182</v>
      </c>
      <c r="D62" s="799" t="s">
        <v>1527</v>
      </c>
      <c r="E62" s="766">
        <f t="shared" si="10"/>
        <v>660.25706156973797</v>
      </c>
      <c r="F62" s="766">
        <f>(+F48/F28*1000)</f>
        <v>727.01328629460113</v>
      </c>
      <c r="G62" s="766">
        <f t="shared" ref="G62:H62" si="12">(+G48/G28*1000)</f>
        <v>658.66666666666674</v>
      </c>
      <c r="H62" s="766">
        <f t="shared" si="12"/>
        <v>671.11111111111109</v>
      </c>
      <c r="I62" s="767">
        <f t="shared" si="11"/>
        <v>0.24145671605332411</v>
      </c>
      <c r="J62" s="768">
        <f t="shared" si="11"/>
        <v>8.3297943154207026</v>
      </c>
    </row>
    <row r="63" spans="1:17">
      <c r="A63" s="824"/>
      <c r="B63" s="825"/>
      <c r="C63" s="798" t="s">
        <v>1510</v>
      </c>
      <c r="D63" s="799" t="s">
        <v>1527</v>
      </c>
      <c r="E63" s="793">
        <f t="shared" si="10"/>
        <v>789.70577668476051</v>
      </c>
      <c r="F63" s="766">
        <f t="shared" si="10"/>
        <v>828.14007594874806</v>
      </c>
      <c r="G63" s="766">
        <f t="shared" si="10"/>
        <v>775.32224532224541</v>
      </c>
      <c r="H63" s="766">
        <f t="shared" si="10"/>
        <v>772.44399460188936</v>
      </c>
      <c r="I63" s="767">
        <f t="shared" si="11"/>
        <v>1.8551681509585614</v>
      </c>
      <c r="J63" s="768">
        <f t="shared" si="11"/>
        <v>7.2103714620195811</v>
      </c>
    </row>
    <row r="64" spans="1:17">
      <c r="A64" s="824"/>
      <c r="B64" s="825"/>
      <c r="C64" s="798" t="s">
        <v>1525</v>
      </c>
      <c r="D64" s="799" t="s">
        <v>1527</v>
      </c>
      <c r="E64" s="766">
        <f t="shared" si="10"/>
        <v>667.3390125099246</v>
      </c>
      <c r="F64" s="766">
        <f t="shared" si="10"/>
        <v>716.51887624692063</v>
      </c>
      <c r="G64" s="766">
        <f t="shared" si="10"/>
        <v>623.89473684210532</v>
      </c>
      <c r="H64" s="766">
        <f t="shared" si="10"/>
        <v>620.65868263473055</v>
      </c>
      <c r="I64" s="767">
        <f t="shared" si="11"/>
        <v>6.9633983270505002</v>
      </c>
      <c r="J64" s="768">
        <f t="shared" si="11"/>
        <v>15.444913008428115</v>
      </c>
    </row>
    <row r="65" spans="1:13">
      <c r="A65" s="824"/>
      <c r="B65" s="825"/>
      <c r="C65" s="826" t="s">
        <v>1512</v>
      </c>
      <c r="D65" s="799" t="s">
        <v>1527</v>
      </c>
      <c r="E65" s="779">
        <f t="shared" si="10"/>
        <v>738.73685645136618</v>
      </c>
      <c r="F65" s="778">
        <f t="shared" si="10"/>
        <v>781.49301301734749</v>
      </c>
      <c r="G65" s="778">
        <f t="shared" si="10"/>
        <v>731.9393511988718</v>
      </c>
      <c r="H65" s="778">
        <f t="shared" si="10"/>
        <v>723.25649658982991</v>
      </c>
      <c r="I65" s="794">
        <f t="shared" si="11"/>
        <v>0.92869788205272452</v>
      </c>
      <c r="J65" s="795">
        <f t="shared" si="11"/>
        <v>8.0519866329723992</v>
      </c>
    </row>
    <row r="66" spans="1:13">
      <c r="A66" s="824"/>
      <c r="B66" s="825"/>
      <c r="C66" s="798" t="s">
        <v>1513</v>
      </c>
      <c r="D66" s="799" t="s">
        <v>1527</v>
      </c>
      <c r="E66" s="793">
        <f t="shared" si="10"/>
        <v>370.3425321529773</v>
      </c>
      <c r="F66" s="766">
        <f t="shared" si="10"/>
        <v>429.14458997120153</v>
      </c>
      <c r="G66" s="766">
        <f t="shared" si="10"/>
        <v>351.29629629629625</v>
      </c>
      <c r="H66" s="766">
        <f t="shared" si="10"/>
        <v>441.33595284872297</v>
      </c>
      <c r="I66" s="767">
        <f>+(E66-G66)/G66*100</f>
        <v>5.4217012981590766</v>
      </c>
      <c r="J66" s="768">
        <f t="shared" si="11"/>
        <v>-2.7623770052788528</v>
      </c>
    </row>
    <row r="67" spans="1:13">
      <c r="A67" s="824"/>
      <c r="B67" s="825"/>
      <c r="C67" s="826" t="s">
        <v>1514</v>
      </c>
      <c r="D67" s="799" t="s">
        <v>1527</v>
      </c>
      <c r="E67" s="779">
        <f t="shared" si="10"/>
        <v>698.13371523160743</v>
      </c>
      <c r="F67" s="778">
        <f t="shared" si="10"/>
        <v>753.60587810717459</v>
      </c>
      <c r="G67" s="778">
        <f t="shared" si="10"/>
        <v>692.91139240506334</v>
      </c>
      <c r="H67" s="778">
        <f t="shared" si="10"/>
        <v>700.48091421315769</v>
      </c>
      <c r="I67" s="794">
        <f t="shared" si="11"/>
        <v>0.75367830342890541</v>
      </c>
      <c r="J67" s="795">
        <f t="shared" si="11"/>
        <v>7.5840701461069182</v>
      </c>
    </row>
    <row r="68" spans="1:13" ht="16.5" customHeight="1" thickBot="1">
      <c r="A68" s="827"/>
      <c r="B68" s="838"/>
      <c r="C68" s="828" t="s">
        <v>1515</v>
      </c>
      <c r="D68" s="829" t="s">
        <v>1527</v>
      </c>
      <c r="E68" s="803">
        <f t="shared" si="10"/>
        <v>723.22500927845635</v>
      </c>
      <c r="F68" s="804">
        <f t="shared" si="10"/>
        <v>801.8595142917394</v>
      </c>
      <c r="G68" s="803">
        <f t="shared" si="10"/>
        <v>752.69424259362779</v>
      </c>
      <c r="H68" s="803">
        <f t="shared" si="10"/>
        <v>750.10337000174604</v>
      </c>
      <c r="I68" s="839">
        <f t="shared" si="11"/>
        <v>-3.9151665639990272</v>
      </c>
      <c r="J68" s="840">
        <f t="shared" si="11"/>
        <v>6.8998682528079947</v>
      </c>
    </row>
    <row r="69" spans="1:13" ht="0.75" customHeight="1" thickBot="1">
      <c r="A69" s="806"/>
      <c r="B69" s="806"/>
      <c r="C69" s="742"/>
      <c r="D69" s="742"/>
      <c r="E69" s="841">
        <f>SUM(E57:E68)</f>
        <v>6746.1229657710992</v>
      </c>
      <c r="F69" s="841">
        <f>SUM(F57:F68)</f>
        <v>7412.9466437384563</v>
      </c>
      <c r="G69" s="789" t="e">
        <v>#DIV/0!</v>
      </c>
      <c r="H69" s="788"/>
      <c r="I69" s="789" t="e">
        <f>+(E69-G69)/G69*100</f>
        <v>#DIV/0!</v>
      </c>
      <c r="J69" s="788"/>
    </row>
    <row r="70" spans="1:13" ht="41.25" hidden="1" customHeight="1" thickBot="1">
      <c r="A70" s="842"/>
      <c r="B70" s="842"/>
      <c r="C70" s="843"/>
      <c r="D70" s="843"/>
      <c r="E70" s="844"/>
      <c r="F70" s="844"/>
      <c r="G70" s="845"/>
      <c r="H70" s="846"/>
      <c r="I70" s="845"/>
      <c r="J70" s="846"/>
    </row>
    <row r="71" spans="1:13" ht="23.25" thickBot="1">
      <c r="A71" s="1087" t="s">
        <v>1500</v>
      </c>
      <c r="B71" s="1088"/>
      <c r="C71" s="1088"/>
      <c r="D71" s="1088"/>
      <c r="E71" s="1088"/>
      <c r="F71" s="1088"/>
      <c r="G71" s="1088"/>
      <c r="H71" s="1088"/>
      <c r="I71" s="1088"/>
      <c r="J71" s="1089"/>
    </row>
    <row r="72" spans="1:13" ht="2.25" hidden="1" customHeight="1" thickBot="1">
      <c r="A72" s="806"/>
      <c r="B72" s="806"/>
      <c r="C72" s="807"/>
      <c r="D72" s="807"/>
      <c r="E72" s="788"/>
      <c r="F72" s="788"/>
      <c r="G72" s="788"/>
      <c r="H72" s="788"/>
      <c r="I72" s="788"/>
      <c r="J72" s="788"/>
    </row>
    <row r="73" spans="1:13" ht="46.5" customHeight="1" thickBot="1">
      <c r="A73" s="1090" t="s">
        <v>1528</v>
      </c>
      <c r="B73" s="1091"/>
      <c r="C73" s="1091"/>
      <c r="D73" s="1091"/>
      <c r="E73" s="1091"/>
      <c r="F73" s="1091"/>
      <c r="G73" s="1091"/>
      <c r="H73" s="1092"/>
      <c r="I73" s="1102" t="s">
        <v>1529</v>
      </c>
      <c r="J73" s="1103"/>
    </row>
    <row r="74" spans="1:13" ht="3" hidden="1" customHeight="1" thickBot="1">
      <c r="A74" s="809"/>
      <c r="B74" s="809"/>
      <c r="C74" s="809"/>
      <c r="D74" s="809"/>
      <c r="E74" s="810"/>
      <c r="F74" s="810"/>
      <c r="G74" s="810"/>
      <c r="H74" s="810"/>
      <c r="I74" s="811"/>
      <c r="J74" s="811"/>
    </row>
    <row r="75" spans="1:13" ht="23.25" customHeight="1" thickBot="1">
      <c r="A75" s="812"/>
      <c r="B75" s="847"/>
      <c r="C75" s="848"/>
      <c r="D75" s="814"/>
      <c r="E75" s="1098" t="str">
        <f>E39</f>
        <v>Current Year 23-24 ***</v>
      </c>
      <c r="F75" s="1099"/>
      <c r="G75" s="1098" t="str">
        <f>G39</f>
        <v>Previous  Year 22-23*</v>
      </c>
      <c r="H75" s="1099"/>
      <c r="I75" s="1107" t="s">
        <v>1435</v>
      </c>
      <c r="J75" s="1108"/>
    </row>
    <row r="76" spans="1:13" ht="3" hidden="1" customHeight="1" thickBot="1">
      <c r="A76" s="806"/>
      <c r="B76" s="806"/>
      <c r="C76" s="742"/>
      <c r="D76" s="742"/>
      <c r="E76" s="849"/>
      <c r="F76" s="849"/>
      <c r="G76" s="849"/>
      <c r="H76" s="849"/>
      <c r="I76" s="788"/>
      <c r="J76" s="788"/>
    </row>
    <row r="77" spans="1:13" ht="52.5" customHeight="1" thickBot="1">
      <c r="A77" s="812"/>
      <c r="B77" s="847"/>
      <c r="C77" s="850"/>
      <c r="D77" s="816"/>
      <c r="E77" s="817" t="str">
        <f>E41</f>
        <v>4th Quarter Jan'24 to Mar'24</v>
      </c>
      <c r="F77" s="817" t="str">
        <f>F41</f>
        <v xml:space="preserve">Cumulative Up to 4th quarter </v>
      </c>
      <c r="G77" s="817" t="str">
        <f>G41</f>
        <v>4th Quarter Jan'23 to Mar'23</v>
      </c>
      <c r="H77" s="818" t="str">
        <f>H7</f>
        <v xml:space="preserve">Cumulative Up to 4th quarter </v>
      </c>
      <c r="I77" s="819" t="str">
        <f>I7</f>
        <v>4th  Quarter</v>
      </c>
      <c r="J77" s="818" t="str">
        <f>J7</f>
        <v>Cumulative up to 4th  Qtr</v>
      </c>
    </row>
    <row r="78" spans="1:13" s="759" customFormat="1" ht="18.75" thickBot="1">
      <c r="A78" s="820" t="s">
        <v>1530</v>
      </c>
      <c r="B78" s="821"/>
      <c r="C78" s="822" t="s">
        <v>1531</v>
      </c>
      <c r="D78" s="851"/>
      <c r="E78" s="852"/>
      <c r="F78" s="853"/>
      <c r="G78" s="852"/>
      <c r="H78" s="853"/>
      <c r="I78" s="854"/>
      <c r="J78" s="855"/>
      <c r="L78" s="760"/>
      <c r="M78" s="760"/>
    </row>
    <row r="79" spans="1:13">
      <c r="A79" s="824"/>
      <c r="B79" s="825"/>
      <c r="C79" s="798" t="s">
        <v>1473</v>
      </c>
      <c r="D79" s="856" t="s">
        <v>1527</v>
      </c>
      <c r="E79" s="765">
        <f>+K79/E23/10000</f>
        <v>108.164619645144</v>
      </c>
      <c r="F79" s="765">
        <f>+L79/F23/10000</f>
        <v>103.89994790765139</v>
      </c>
      <c r="G79" s="858">
        <v>92</v>
      </c>
      <c r="H79" s="857">
        <v>91</v>
      </c>
      <c r="I79" s="859">
        <f>+(E79-G79)/G79*100</f>
        <v>17.570238744721738</v>
      </c>
      <c r="J79" s="860">
        <f>+(F79-H79)/H79*100</f>
        <v>14.175766931485049</v>
      </c>
      <c r="K79" s="861">
        <f>'HT-SOP'!C43+'HT-SOP'!C44+'HT-SOP'!C45+'HT-SOP'!C52</f>
        <v>4221315150.8000002</v>
      </c>
      <c r="L79" s="728">
        <f>'HT-SOP-12 Month'!C43+'HT-SOP-12 Month'!C44+'HT-SOP-12 Month'!C45+'HT-SOP-12 Month'!C52</f>
        <v>16612226514.849998</v>
      </c>
    </row>
    <row r="80" spans="1:13">
      <c r="A80" s="824"/>
      <c r="B80" s="825"/>
      <c r="C80" s="798" t="s">
        <v>1506</v>
      </c>
      <c r="D80" s="862" t="s">
        <v>1527</v>
      </c>
      <c r="E80" s="793"/>
      <c r="F80" s="793"/>
      <c r="G80" s="793"/>
      <c r="H80" s="766"/>
      <c r="I80" s="767"/>
      <c r="J80" s="768"/>
      <c r="K80" s="726"/>
    </row>
    <row r="81" spans="1:18">
      <c r="A81" s="824"/>
      <c r="B81" s="825"/>
      <c r="C81" s="798" t="s">
        <v>1507</v>
      </c>
      <c r="D81" s="862" t="s">
        <v>1527</v>
      </c>
      <c r="E81" s="793"/>
      <c r="F81" s="793"/>
      <c r="G81" s="793"/>
      <c r="H81" s="765"/>
      <c r="I81" s="863"/>
      <c r="J81" s="768"/>
      <c r="K81" s="726"/>
    </row>
    <row r="82" spans="1:18">
      <c r="A82" s="824"/>
      <c r="B82" s="825"/>
      <c r="C82" s="826" t="s">
        <v>1508</v>
      </c>
      <c r="D82" s="862" t="s">
        <v>1527</v>
      </c>
      <c r="E82" s="864">
        <f>+E79</f>
        <v>108.164619645144</v>
      </c>
      <c r="F82" s="864">
        <f>+F79</f>
        <v>103.89994790765139</v>
      </c>
      <c r="G82" s="864">
        <f>+G79</f>
        <v>92</v>
      </c>
      <c r="H82" s="864">
        <f>+H79</f>
        <v>91</v>
      </c>
      <c r="I82" s="865">
        <f t="shared" ref="I82:J90" si="13">+(E82-G82)/G82*100</f>
        <v>17.570238744721738</v>
      </c>
      <c r="J82" s="795">
        <f t="shared" si="13"/>
        <v>14.175766931485049</v>
      </c>
      <c r="K82" s="726"/>
    </row>
    <row r="83" spans="1:18">
      <c r="A83" s="824"/>
      <c r="B83" s="825"/>
      <c r="C83" s="798" t="s">
        <v>1509</v>
      </c>
      <c r="D83" s="862" t="s">
        <v>1527</v>
      </c>
      <c r="E83" s="765">
        <f t="shared" ref="E83:F90" si="14">+K83/E27/10000</f>
        <v>19.353492961866596</v>
      </c>
      <c r="F83" s="765">
        <f>+L83/F27/10000</f>
        <v>15.078702456547401</v>
      </c>
      <c r="G83" s="765">
        <v>18</v>
      </c>
      <c r="H83" s="765">
        <v>15</v>
      </c>
      <c r="I83" s="863">
        <f t="shared" si="13"/>
        <v>7.5194053437033128</v>
      </c>
      <c r="J83" s="768">
        <f t="shared" si="13"/>
        <v>0.52468304364933738</v>
      </c>
      <c r="K83" s="861">
        <f>'LT-SOP'!F30</f>
        <v>147548613.09</v>
      </c>
      <c r="L83" s="728">
        <f>'LT-SOP-12 Month'!F30</f>
        <v>576064865.32000005</v>
      </c>
    </row>
    <row r="84" spans="1:18">
      <c r="A84" s="824"/>
      <c r="B84" s="825"/>
      <c r="C84" s="798" t="s">
        <v>1182</v>
      </c>
      <c r="D84" s="862" t="s">
        <v>1527</v>
      </c>
      <c r="E84" s="765">
        <f t="shared" si="14"/>
        <v>19.605868637760477</v>
      </c>
      <c r="F84" s="765">
        <f t="shared" si="14"/>
        <v>18.846625440826017</v>
      </c>
      <c r="G84" s="765">
        <v>21</v>
      </c>
      <c r="H84" s="765">
        <v>19</v>
      </c>
      <c r="I84" s="863">
        <f t="shared" si="13"/>
        <v>-6.638720772569159</v>
      </c>
      <c r="J84" s="768">
        <f t="shared" si="13"/>
        <v>-0.80723452196833168</v>
      </c>
      <c r="K84" s="861">
        <f>'LT-SOP'!F31</f>
        <v>6398615.9900000002</v>
      </c>
      <c r="L84" s="728">
        <f>'LT-SOP-12 Month'!F31</f>
        <v>24997453.09</v>
      </c>
    </row>
    <row r="85" spans="1:18">
      <c r="A85" s="824"/>
      <c r="B85" s="825"/>
      <c r="C85" s="798" t="s">
        <v>1510</v>
      </c>
      <c r="D85" s="862" t="s">
        <v>1527</v>
      </c>
      <c r="E85" s="765">
        <f t="shared" si="14"/>
        <v>52.998218498267768</v>
      </c>
      <c r="F85" s="765">
        <f t="shared" si="14"/>
        <v>52.811846972076324</v>
      </c>
      <c r="G85" s="765">
        <v>53</v>
      </c>
      <c r="H85" s="765">
        <v>52</v>
      </c>
      <c r="I85" s="863">
        <f t="shared" si="13"/>
        <v>-3.3613240230792756E-3</v>
      </c>
      <c r="J85" s="768">
        <f t="shared" si="13"/>
        <v>1.5612441770698546</v>
      </c>
      <c r="K85" s="861">
        <f>'LT-SOP'!F32+'LT-SOP'!F36</f>
        <v>1131068940.6399999</v>
      </c>
      <c r="L85" s="728">
        <f>'LT-SOP-12 Month'!F32+'LT-SOP-12 Month'!F36</f>
        <v>4320095734.4099998</v>
      </c>
    </row>
    <row r="86" spans="1:18">
      <c r="A86" s="824"/>
      <c r="B86" s="825"/>
      <c r="C86" s="798" t="s">
        <v>1525</v>
      </c>
      <c r="D86" s="862" t="s">
        <v>1527</v>
      </c>
      <c r="E86" s="765">
        <f>+K86/E30/10000</f>
        <v>4.3952722369552077</v>
      </c>
      <c r="F86" s="765">
        <f>+L86/F30/10000</f>
        <v>4.5568886647118179</v>
      </c>
      <c r="G86" s="765">
        <v>4</v>
      </c>
      <c r="H86" s="765">
        <v>5</v>
      </c>
      <c r="I86" s="863">
        <f t="shared" si="13"/>
        <v>9.8818059238801936</v>
      </c>
      <c r="J86" s="768">
        <f t="shared" si="13"/>
        <v>-8.8622267057636428</v>
      </c>
      <c r="K86" s="861">
        <f>'LT-SOP'!F33</f>
        <v>4178590.59</v>
      </c>
      <c r="L86" s="728">
        <f>+'LT-SOP-12 Month'!F33</f>
        <v>16316856.710000001</v>
      </c>
    </row>
    <row r="87" spans="1:18" s="797" customFormat="1">
      <c r="A87" s="824"/>
      <c r="B87" s="825"/>
      <c r="C87" s="826" t="s">
        <v>1512</v>
      </c>
      <c r="D87" s="862" t="s">
        <v>1527</v>
      </c>
      <c r="E87" s="774">
        <f t="shared" si="14"/>
        <v>42.628465825948133</v>
      </c>
      <c r="F87" s="774">
        <f t="shared" si="14"/>
        <v>39.527443394595139</v>
      </c>
      <c r="G87" s="774">
        <v>41</v>
      </c>
      <c r="H87" s="774">
        <v>38</v>
      </c>
      <c r="I87" s="865">
        <f t="shared" si="13"/>
        <v>3.971867868166179</v>
      </c>
      <c r="J87" s="795">
        <f t="shared" si="13"/>
        <v>4.019587880513523</v>
      </c>
      <c r="K87" s="866">
        <f>SUM(K83:K86)</f>
        <v>1289194760.3099997</v>
      </c>
      <c r="L87" s="866">
        <f>SUM(L83:L86)</f>
        <v>4937474909.5299997</v>
      </c>
      <c r="M87" s="796"/>
    </row>
    <row r="88" spans="1:18">
      <c r="A88" s="824"/>
      <c r="B88" s="825"/>
      <c r="C88" s="798" t="s">
        <v>1513</v>
      </c>
      <c r="D88" s="862" t="s">
        <v>1527</v>
      </c>
      <c r="E88" s="765">
        <f t="shared" si="14"/>
        <v>8.1358299853076907</v>
      </c>
      <c r="F88" s="765">
        <f t="shared" si="14"/>
        <v>10.944512383923373</v>
      </c>
      <c r="G88" s="765">
        <v>8</v>
      </c>
      <c r="H88" s="765">
        <v>18</v>
      </c>
      <c r="I88" s="863">
        <f t="shared" si="13"/>
        <v>1.6978748163461344</v>
      </c>
      <c r="J88" s="768">
        <f t="shared" si="13"/>
        <v>-39.197153422647929</v>
      </c>
      <c r="K88" s="867">
        <f>'LT-SOP'!F34</f>
        <v>30477761.010000002</v>
      </c>
      <c r="L88" s="728">
        <f>+'LT-SOP-12 Month'!F34</f>
        <v>117501552</v>
      </c>
    </row>
    <row r="89" spans="1:18">
      <c r="A89" s="824"/>
      <c r="B89" s="825"/>
      <c r="C89" s="826" t="s">
        <v>1514</v>
      </c>
      <c r="D89" s="862" t="s">
        <v>1527</v>
      </c>
      <c r="E89" s="774">
        <f t="shared" si="14"/>
        <v>38.826807462327778</v>
      </c>
      <c r="F89" s="774">
        <f t="shared" si="14"/>
        <v>37.265205220427482</v>
      </c>
      <c r="G89" s="774">
        <v>38</v>
      </c>
      <c r="H89" s="774">
        <v>37</v>
      </c>
      <c r="I89" s="863">
        <f t="shared" si="13"/>
        <v>2.1758091113888907</v>
      </c>
      <c r="J89" s="768">
        <f t="shared" si="13"/>
        <v>0.71677086602022266</v>
      </c>
      <c r="K89" s="866">
        <f>K87+K88</f>
        <v>1319672521.3199997</v>
      </c>
      <c r="L89" s="866">
        <f>L87+L88</f>
        <v>5054976461.5299997</v>
      </c>
    </row>
    <row r="90" spans="1:18" ht="18" customHeight="1" thickBot="1">
      <c r="A90" s="827"/>
      <c r="B90" s="825"/>
      <c r="C90" s="828" t="s">
        <v>1515</v>
      </c>
      <c r="D90" s="868" t="s">
        <v>1527</v>
      </c>
      <c r="E90" s="774">
        <f t="shared" si="14"/>
        <v>75.877477417610265</v>
      </c>
      <c r="F90" s="774">
        <f t="shared" si="14"/>
        <v>73.312589527332094</v>
      </c>
      <c r="G90" s="774">
        <v>68</v>
      </c>
      <c r="H90" s="774">
        <v>67</v>
      </c>
      <c r="I90" s="869">
        <f t="shared" si="13"/>
        <v>11.584525614132742</v>
      </c>
      <c r="J90" s="785">
        <f t="shared" si="13"/>
        <v>9.421775413928497</v>
      </c>
      <c r="K90" s="726">
        <f>K89+K79</f>
        <v>5540987672.1199999</v>
      </c>
      <c r="L90" s="726">
        <f>L89+L79</f>
        <v>21667202976.379997</v>
      </c>
    </row>
    <row r="91" spans="1:18" ht="2.25" hidden="1" customHeight="1" thickBot="1">
      <c r="A91" s="806"/>
      <c r="B91" s="831"/>
      <c r="C91" s="807"/>
      <c r="D91" s="807"/>
      <c r="E91" s="870"/>
      <c r="F91" s="871"/>
      <c r="G91" s="871"/>
      <c r="H91" s="871"/>
      <c r="I91" s="872" t="e">
        <f>+(E91-G91)/G91*100</f>
        <v>#DIV/0!</v>
      </c>
      <c r="J91" s="871"/>
      <c r="K91" s="726"/>
    </row>
    <row r="92" spans="1:18" s="759" customFormat="1" ht="18.75" thickBot="1">
      <c r="A92" s="873" t="s">
        <v>1532</v>
      </c>
      <c r="B92" s="874"/>
      <c r="C92" s="875" t="s">
        <v>1533</v>
      </c>
      <c r="D92" s="875"/>
      <c r="E92" s="876"/>
      <c r="F92" s="876"/>
      <c r="G92" s="876"/>
      <c r="H92" s="876"/>
      <c r="I92" s="876"/>
      <c r="J92" s="877"/>
      <c r="K92" s="878"/>
      <c r="L92" s="760"/>
      <c r="M92" s="760"/>
    </row>
    <row r="93" spans="1:18">
      <c r="A93" s="879"/>
      <c r="B93" s="880"/>
      <c r="C93" s="881" t="s">
        <v>1473</v>
      </c>
      <c r="D93" s="823" t="s">
        <v>1527</v>
      </c>
      <c r="E93" s="765">
        <f>+K93/E23/10000</f>
        <v>636.82516583110771</v>
      </c>
      <c r="F93" s="857">
        <f>+E93</f>
        <v>636.82516583110771</v>
      </c>
      <c r="G93" s="858">
        <v>708</v>
      </c>
      <c r="H93" s="857">
        <v>708</v>
      </c>
      <c r="I93" s="882">
        <f>+(E93-G93)/G93*100</f>
        <v>-10.052942679222076</v>
      </c>
      <c r="J93" s="883">
        <f>+(F93-H93)/H93*100</f>
        <v>-10.052942679222076</v>
      </c>
      <c r="K93" s="884">
        <f>+(E43*10000000)-K79</f>
        <v>24853225849.199989</v>
      </c>
      <c r="L93" s="884">
        <f>+(F43*10000000)-L79</f>
        <v>118137414485.14999</v>
      </c>
    </row>
    <row r="94" spans="1:18">
      <c r="A94" s="824"/>
      <c r="B94" s="825"/>
      <c r="C94" s="798" t="s">
        <v>1506</v>
      </c>
      <c r="D94" s="799" t="s">
        <v>1527</v>
      </c>
      <c r="E94" s="793"/>
      <c r="F94" s="768"/>
      <c r="G94" s="793"/>
      <c r="H94" s="766"/>
      <c r="I94" s="767"/>
      <c r="J94" s="768"/>
      <c r="K94" s="885"/>
      <c r="L94" s="885"/>
    </row>
    <row r="95" spans="1:18">
      <c r="A95" s="824"/>
      <c r="B95" s="825"/>
      <c r="C95" s="798" t="s">
        <v>1507</v>
      </c>
      <c r="D95" s="799" t="s">
        <v>1527</v>
      </c>
      <c r="E95" s="793"/>
      <c r="F95" s="886"/>
      <c r="G95" s="793"/>
      <c r="H95" s="766"/>
      <c r="I95" s="767"/>
      <c r="J95" s="768"/>
      <c r="K95" s="777"/>
      <c r="L95" s="777"/>
    </row>
    <row r="96" spans="1:18">
      <c r="A96" s="824"/>
      <c r="B96" s="825"/>
      <c r="C96" s="826" t="s">
        <v>1508</v>
      </c>
      <c r="D96" s="862" t="s">
        <v>1527</v>
      </c>
      <c r="E96" s="774">
        <f>E93</f>
        <v>636.82516583110771</v>
      </c>
      <c r="F96" s="774">
        <f>+E96</f>
        <v>636.82516583110771</v>
      </c>
      <c r="G96" s="775">
        <v>708</v>
      </c>
      <c r="H96" s="779">
        <v>708</v>
      </c>
      <c r="I96" s="794">
        <f t="shared" ref="I96:J104" si="15">+(E96-G96)/G96*100</f>
        <v>-10.052942679222076</v>
      </c>
      <c r="J96" s="795">
        <f t="shared" si="15"/>
        <v>-10.052942679222076</v>
      </c>
      <c r="K96" s="885">
        <f>+SUM(K93:K95)</f>
        <v>24853225849.199989</v>
      </c>
      <c r="L96" s="885"/>
      <c r="P96" s="777"/>
      <c r="Q96" s="777"/>
      <c r="R96" s="777"/>
    </row>
    <row r="97" spans="1:18">
      <c r="A97" s="824"/>
      <c r="B97" s="825"/>
      <c r="C97" s="798" t="s">
        <v>1509</v>
      </c>
      <c r="D97" s="862" t="s">
        <v>1527</v>
      </c>
      <c r="E97" s="765">
        <f>+K97/E27/10000</f>
        <v>573.34166808425277</v>
      </c>
      <c r="F97" s="765">
        <f t="shared" ref="F97:F104" si="16">+E97</f>
        <v>573.34166808425277</v>
      </c>
      <c r="G97" s="887">
        <v>624</v>
      </c>
      <c r="H97" s="766">
        <v>621</v>
      </c>
      <c r="I97" s="767">
        <f t="shared" si="15"/>
        <v>-8.1183224223953889</v>
      </c>
      <c r="J97" s="768">
        <f t="shared" si="15"/>
        <v>-7.6744495838562354</v>
      </c>
      <c r="K97" s="888">
        <f>'LT-SOP'!O9</f>
        <v>4371085267.0999994</v>
      </c>
      <c r="L97" s="888"/>
      <c r="Q97" s="777"/>
      <c r="R97" s="777"/>
    </row>
    <row r="98" spans="1:18">
      <c r="A98" s="824"/>
      <c r="B98" s="825"/>
      <c r="C98" s="798" t="s">
        <v>1182</v>
      </c>
      <c r="D98" s="862" t="s">
        <v>1527</v>
      </c>
      <c r="E98" s="765">
        <f t="shared" ref="E98:E104" si="17">+K98/E28/10000</f>
        <v>686.21204043555542</v>
      </c>
      <c r="F98" s="765">
        <f t="shared" si="16"/>
        <v>686.21204043555542</v>
      </c>
      <c r="G98" s="887">
        <v>638</v>
      </c>
      <c r="H98" s="766">
        <v>652</v>
      </c>
      <c r="I98" s="767">
        <f t="shared" si="15"/>
        <v>7.5567461497735771</v>
      </c>
      <c r="J98" s="768">
        <f t="shared" si="15"/>
        <v>5.2472454655759853</v>
      </c>
      <c r="K98" s="888">
        <f>'LT-SOP'!O10</f>
        <v>223953726.07999998</v>
      </c>
      <c r="L98" s="888"/>
      <c r="Q98" s="777"/>
      <c r="R98" s="777"/>
    </row>
    <row r="99" spans="1:18">
      <c r="A99" s="824"/>
      <c r="B99" s="825"/>
      <c r="C99" s="798" t="s">
        <v>1510</v>
      </c>
      <c r="D99" s="862" t="s">
        <v>1527</v>
      </c>
      <c r="E99" s="765">
        <f t="shared" si="17"/>
        <v>750.50729424774192</v>
      </c>
      <c r="F99" s="765">
        <f t="shared" si="16"/>
        <v>750.50729424774192</v>
      </c>
      <c r="G99" s="887">
        <v>723</v>
      </c>
      <c r="H99" s="766">
        <v>720</v>
      </c>
      <c r="I99" s="767">
        <f t="shared" si="15"/>
        <v>3.8046050135189384</v>
      </c>
      <c r="J99" s="768">
        <f t="shared" si="15"/>
        <v>4.2371242010752672</v>
      </c>
      <c r="K99" s="885">
        <f>'LT-SOP'!O11+'LT-SOP'!O15</f>
        <v>16017057069.099998</v>
      </c>
      <c r="L99" s="888"/>
      <c r="Q99" s="777"/>
      <c r="R99" s="777"/>
    </row>
    <row r="100" spans="1:18">
      <c r="A100" s="824"/>
      <c r="B100" s="825"/>
      <c r="C100" s="798" t="s">
        <v>1525</v>
      </c>
      <c r="D100" s="862" t="s">
        <v>1527</v>
      </c>
      <c r="E100" s="765">
        <f t="shared" si="17"/>
        <v>473.95984293487805</v>
      </c>
      <c r="F100" s="765">
        <f t="shared" si="16"/>
        <v>473.95984293487805</v>
      </c>
      <c r="G100" s="887">
        <v>620</v>
      </c>
      <c r="H100" s="766">
        <v>616</v>
      </c>
      <c r="I100" s="767">
        <f t="shared" si="15"/>
        <v>-23.554864042761604</v>
      </c>
      <c r="J100" s="768">
        <f t="shared" si="15"/>
        <v>-23.058467056026291</v>
      </c>
      <c r="K100" s="885">
        <f>'LT-SOP'!O12</f>
        <v>450594191.43000001</v>
      </c>
      <c r="L100" s="888"/>
      <c r="Q100" s="777"/>
      <c r="R100" s="777"/>
    </row>
    <row r="101" spans="1:18">
      <c r="A101" s="824"/>
      <c r="B101" s="825"/>
      <c r="C101" s="826" t="s">
        <v>1512</v>
      </c>
      <c r="D101" s="862" t="s">
        <v>1527</v>
      </c>
      <c r="E101" s="774">
        <f t="shared" si="17"/>
        <v>696.45812977622222</v>
      </c>
      <c r="F101" s="774">
        <f t="shared" si="16"/>
        <v>696.45812977622222</v>
      </c>
      <c r="G101" s="774">
        <v>691</v>
      </c>
      <c r="H101" s="774">
        <v>685</v>
      </c>
      <c r="I101" s="794">
        <f>SUM(I97:I100)</f>
        <v>-20.311835301864477</v>
      </c>
      <c r="J101" s="794">
        <f>SUM(J97:J100)</f>
        <v>-21.248546973231274</v>
      </c>
      <c r="K101" s="884">
        <f>SUM(K97:K100)</f>
        <v>21062690253.709999</v>
      </c>
      <c r="L101" s="888"/>
      <c r="Q101" s="777"/>
      <c r="R101" s="777"/>
    </row>
    <row r="102" spans="1:18">
      <c r="A102" s="824"/>
      <c r="B102" s="825"/>
      <c r="C102" s="798" t="s">
        <v>1513</v>
      </c>
      <c r="D102" s="862" t="s">
        <v>1527</v>
      </c>
      <c r="E102" s="765">
        <f t="shared" si="17"/>
        <v>47.84074216691922</v>
      </c>
      <c r="F102" s="765">
        <f t="shared" si="16"/>
        <v>47.84074216691922</v>
      </c>
      <c r="G102" s="887">
        <v>343</v>
      </c>
      <c r="H102" s="766">
        <v>423</v>
      </c>
      <c r="I102" s="767">
        <f t="shared" si="15"/>
        <v>-86.052261758915677</v>
      </c>
      <c r="J102" s="768">
        <f t="shared" si="15"/>
        <v>-88.690131875432812</v>
      </c>
      <c r="K102" s="885">
        <f>'LT-SOP'!O13</f>
        <v>179216958.68000001</v>
      </c>
      <c r="L102" s="888"/>
      <c r="Q102" s="777"/>
      <c r="R102" s="777"/>
    </row>
    <row r="103" spans="1:18">
      <c r="A103" s="824"/>
      <c r="B103" s="825"/>
      <c r="C103" s="826" t="s">
        <v>1514</v>
      </c>
      <c r="D103" s="862" t="s">
        <v>1527</v>
      </c>
      <c r="E103" s="774">
        <f t="shared" si="17"/>
        <v>624.96977708010343</v>
      </c>
      <c r="F103" s="774">
        <f t="shared" si="16"/>
        <v>624.96977708010343</v>
      </c>
      <c r="G103" s="775">
        <v>655</v>
      </c>
      <c r="H103" s="775">
        <v>664</v>
      </c>
      <c r="I103" s="794">
        <f t="shared" si="15"/>
        <v>-4.5847668579994769</v>
      </c>
      <c r="J103" s="795">
        <f t="shared" si="15"/>
        <v>-5.8780456204663514</v>
      </c>
      <c r="K103" s="885">
        <f>+K101+K102</f>
        <v>21241907212.389999</v>
      </c>
      <c r="L103" s="888"/>
      <c r="Q103" s="777"/>
      <c r="R103" s="777"/>
    </row>
    <row r="104" spans="1:18" ht="16.5" customHeight="1" thickBot="1">
      <c r="A104" s="827"/>
      <c r="B104" s="838"/>
      <c r="C104" s="828" t="s">
        <v>1515</v>
      </c>
      <c r="D104" s="868" t="s">
        <v>1527</v>
      </c>
      <c r="E104" s="774">
        <f t="shared" si="17"/>
        <v>631.22003240341951</v>
      </c>
      <c r="F104" s="774">
        <f t="shared" si="16"/>
        <v>631.22003240341951</v>
      </c>
      <c r="G104" s="889">
        <v>685</v>
      </c>
      <c r="H104" s="889">
        <v>683</v>
      </c>
      <c r="I104" s="839">
        <f t="shared" si="15"/>
        <v>-7.8510901600847438</v>
      </c>
      <c r="J104" s="840">
        <f t="shared" si="15"/>
        <v>-7.581254406527159</v>
      </c>
      <c r="K104" s="885">
        <f>+K103+K96</f>
        <v>46095133061.589989</v>
      </c>
      <c r="L104" s="888"/>
      <c r="Q104" s="777"/>
      <c r="R104" s="777"/>
    </row>
    <row r="105" spans="1:18" ht="3" hidden="1" customHeight="1" thickBot="1">
      <c r="A105" s="890"/>
      <c r="B105" s="891"/>
      <c r="C105" s="807"/>
      <c r="D105" s="807"/>
      <c r="E105" s="871"/>
      <c r="F105" s="871"/>
      <c r="G105" s="871"/>
      <c r="H105" s="871"/>
      <c r="I105" s="871"/>
      <c r="J105" s="871"/>
      <c r="K105" s="885"/>
    </row>
    <row r="106" spans="1:18" s="759" customFormat="1" ht="18">
      <c r="A106" s="820" t="s">
        <v>1534</v>
      </c>
      <c r="B106" s="833"/>
      <c r="C106" s="822" t="s">
        <v>1535</v>
      </c>
      <c r="D106" s="822"/>
      <c r="E106" s="892"/>
      <c r="F106" s="893"/>
      <c r="G106" s="892"/>
      <c r="H106" s="893"/>
      <c r="I106" s="892"/>
      <c r="J106" s="893"/>
      <c r="K106" s="885"/>
      <c r="L106" s="760"/>
      <c r="M106" s="760"/>
    </row>
    <row r="107" spans="1:18">
      <c r="A107" s="824"/>
      <c r="B107" s="825"/>
      <c r="C107" s="798" t="s">
        <v>1473</v>
      </c>
      <c r="D107" s="799" t="s">
        <v>1536</v>
      </c>
      <c r="E107" s="793">
        <f>+E23*10^6/E9</f>
        <v>635408.08559426875</v>
      </c>
      <c r="F107" s="766">
        <f>+F23*10^6/F9</f>
        <v>2603171.0292608268</v>
      </c>
      <c r="G107" s="793">
        <v>725622</v>
      </c>
      <c r="H107" s="793">
        <v>2911567</v>
      </c>
      <c r="I107" s="767">
        <f>+(E107-G107)/G107*100</f>
        <v>-12.432632197718819</v>
      </c>
      <c r="J107" s="768">
        <f>+(F107-H107)/H107*100</f>
        <v>-10.592095965477464</v>
      </c>
      <c r="K107" s="777"/>
    </row>
    <row r="108" spans="1:18">
      <c r="A108" s="824"/>
      <c r="B108" s="825"/>
      <c r="C108" s="798" t="s">
        <v>1506</v>
      </c>
      <c r="D108" s="799" t="s">
        <v>1536</v>
      </c>
      <c r="E108" s="793"/>
      <c r="F108" s="766"/>
      <c r="G108" s="793"/>
      <c r="H108" s="793"/>
      <c r="I108" s="767"/>
      <c r="J108" s="768"/>
      <c r="K108" s="777"/>
    </row>
    <row r="109" spans="1:18">
      <c r="A109" s="824"/>
      <c r="B109" s="825"/>
      <c r="C109" s="798" t="s">
        <v>1507</v>
      </c>
      <c r="D109" s="799" t="s">
        <v>1536</v>
      </c>
      <c r="E109" s="793"/>
      <c r="F109" s="766"/>
      <c r="G109" s="793"/>
      <c r="H109" s="793"/>
      <c r="I109" s="767"/>
      <c r="J109" s="768"/>
    </row>
    <row r="110" spans="1:18">
      <c r="A110" s="824"/>
      <c r="B110" s="825"/>
      <c r="C110" s="826" t="s">
        <v>1508</v>
      </c>
      <c r="D110" s="799" t="s">
        <v>1536</v>
      </c>
      <c r="E110" s="779">
        <f>E107</f>
        <v>635408.08559426875</v>
      </c>
      <c r="F110" s="778">
        <f>F107</f>
        <v>2603171.0292608268</v>
      </c>
      <c r="G110" s="779">
        <f>SUM(G107:G109)</f>
        <v>725622</v>
      </c>
      <c r="H110" s="779">
        <f>SUM(H107:H109)</f>
        <v>2911567</v>
      </c>
      <c r="I110" s="794">
        <f t="shared" ref="I110:J118" si="18">+(E110-G110)/G110*100</f>
        <v>-12.432632197718819</v>
      </c>
      <c r="J110" s="795">
        <f t="shared" si="18"/>
        <v>-10.592095965477464</v>
      </c>
    </row>
    <row r="111" spans="1:18">
      <c r="A111" s="824"/>
      <c r="B111" s="825"/>
      <c r="C111" s="798" t="s">
        <v>1509</v>
      </c>
      <c r="D111" s="799" t="s">
        <v>1536</v>
      </c>
      <c r="E111" s="793">
        <f>+E27*10^6/E13</f>
        <v>261.90054486786414</v>
      </c>
      <c r="F111" s="766">
        <f t="shared" ref="E111:F118" si="19">+F27*10^6/F13</f>
        <v>1312.4055120936894</v>
      </c>
      <c r="G111" s="793">
        <v>278</v>
      </c>
      <c r="H111" s="793">
        <v>1314</v>
      </c>
      <c r="I111" s="767">
        <f t="shared" si="18"/>
        <v>-5.7911709108402372</v>
      </c>
      <c r="J111" s="768">
        <f t="shared" si="18"/>
        <v>-0.12134611159137236</v>
      </c>
    </row>
    <row r="112" spans="1:18">
      <c r="A112" s="824"/>
      <c r="B112" s="825"/>
      <c r="C112" s="798" t="s">
        <v>1182</v>
      </c>
      <c r="D112" s="799" t="s">
        <v>1536</v>
      </c>
      <c r="E112" s="793">
        <f t="shared" si="19"/>
        <v>1080.9561473237941</v>
      </c>
      <c r="F112" s="766">
        <f t="shared" si="19"/>
        <v>4393.0918124006357</v>
      </c>
      <c r="G112" s="793">
        <v>1022</v>
      </c>
      <c r="H112" s="793">
        <v>4294</v>
      </c>
      <c r="I112" s="767">
        <f t="shared" si="18"/>
        <v>5.7687032606452142</v>
      </c>
      <c r="J112" s="768">
        <f t="shared" si="18"/>
        <v>2.3076807731866724</v>
      </c>
    </row>
    <row r="113" spans="1:12">
      <c r="A113" s="824"/>
      <c r="B113" s="825"/>
      <c r="C113" s="798" t="s">
        <v>1510</v>
      </c>
      <c r="D113" s="799" t="s">
        <v>1536</v>
      </c>
      <c r="E113" s="793">
        <f t="shared" si="19"/>
        <v>4096.3313915323406</v>
      </c>
      <c r="F113" s="766">
        <f t="shared" si="19"/>
        <v>15701.071561284774</v>
      </c>
      <c r="G113" s="793">
        <v>3782</v>
      </c>
      <c r="H113" s="793">
        <v>14567</v>
      </c>
      <c r="I113" s="767">
        <f t="shared" si="18"/>
        <v>8.3112477930285724</v>
      </c>
      <c r="J113" s="768">
        <f t="shared" si="18"/>
        <v>7.7852101413110066</v>
      </c>
    </row>
    <row r="114" spans="1:12">
      <c r="A114" s="824"/>
      <c r="B114" s="825"/>
      <c r="C114" s="798" t="s">
        <v>1525</v>
      </c>
      <c r="D114" s="799" t="s">
        <v>1536</v>
      </c>
      <c r="E114" s="793">
        <f t="shared" si="19"/>
        <v>2281.3908619696672</v>
      </c>
      <c r="F114" s="766">
        <f t="shared" si="19"/>
        <v>8592.5830293722411</v>
      </c>
      <c r="G114" s="793">
        <v>2409</v>
      </c>
      <c r="H114" s="793">
        <v>8471</v>
      </c>
      <c r="I114" s="767">
        <f t="shared" si="18"/>
        <v>-5.2971829817489757</v>
      </c>
      <c r="J114" s="768">
        <f t="shared" si="18"/>
        <v>1.4352854370468784</v>
      </c>
    </row>
    <row r="115" spans="1:12">
      <c r="A115" s="824"/>
      <c r="B115" s="825"/>
      <c r="C115" s="826" t="s">
        <v>1512</v>
      </c>
      <c r="D115" s="799" t="s">
        <v>1536</v>
      </c>
      <c r="E115" s="779">
        <f t="shared" si="19"/>
        <v>863.12696873343782</v>
      </c>
      <c r="F115" s="778">
        <f t="shared" si="19"/>
        <v>3565.0205203492519</v>
      </c>
      <c r="G115" s="779">
        <v>833</v>
      </c>
      <c r="H115" s="779">
        <v>3403</v>
      </c>
      <c r="I115" s="794">
        <f t="shared" si="18"/>
        <v>3.616682921181011</v>
      </c>
      <c r="J115" s="795">
        <f t="shared" si="18"/>
        <v>4.7611084439979985</v>
      </c>
    </row>
    <row r="116" spans="1:12">
      <c r="A116" s="824"/>
      <c r="B116" s="825"/>
      <c r="C116" s="798" t="s">
        <v>1513</v>
      </c>
      <c r="D116" s="799" t="s">
        <v>1536</v>
      </c>
      <c r="E116" s="793">
        <f t="shared" si="19"/>
        <v>1586.4296991127951</v>
      </c>
      <c r="F116" s="766">
        <f t="shared" si="19"/>
        <v>4546.6007876850099</v>
      </c>
      <c r="G116" s="793">
        <v>1475</v>
      </c>
      <c r="H116" s="793">
        <v>4635</v>
      </c>
      <c r="I116" s="767">
        <f t="shared" si="18"/>
        <v>7.5545558720539061</v>
      </c>
      <c r="J116" s="768">
        <f t="shared" si="18"/>
        <v>-1.9072106216826343</v>
      </c>
    </row>
    <row r="117" spans="1:12">
      <c r="A117" s="824"/>
      <c r="B117" s="825"/>
      <c r="C117" s="826" t="s">
        <v>1514</v>
      </c>
      <c r="D117" s="799" t="s">
        <v>1536</v>
      </c>
      <c r="E117" s="779">
        <f t="shared" si="19"/>
        <v>908.79495739809954</v>
      </c>
      <c r="F117" s="778">
        <f t="shared" si="19"/>
        <v>3626.9956721624271</v>
      </c>
      <c r="G117" s="779">
        <v>872</v>
      </c>
      <c r="H117" s="779">
        <v>3478</v>
      </c>
      <c r="I117" s="794">
        <f t="shared" si="18"/>
        <v>4.2196052062040756</v>
      </c>
      <c r="J117" s="795">
        <f t="shared" si="18"/>
        <v>4.2839468706850816</v>
      </c>
    </row>
    <row r="118" spans="1:12" ht="18.75" thickBot="1">
      <c r="A118" s="827"/>
      <c r="B118" s="838"/>
      <c r="C118" s="828" t="s">
        <v>1515</v>
      </c>
      <c r="D118" s="829" t="s">
        <v>1536</v>
      </c>
      <c r="E118" s="803">
        <f t="shared" si="19"/>
        <v>1949.3646149024748</v>
      </c>
      <c r="F118" s="803">
        <f t="shared" si="19"/>
        <v>7889.3835571882992</v>
      </c>
      <c r="G118" s="803">
        <v>1972</v>
      </c>
      <c r="H118" s="803">
        <v>7892</v>
      </c>
      <c r="I118" s="839">
        <f t="shared" si="18"/>
        <v>-1.1478390008886996</v>
      </c>
      <c r="J118" s="840">
        <f>+(F118-H118)/H118*100</f>
        <v>-3.3153102023578761E-2</v>
      </c>
    </row>
    <row r="119" spans="1:12" ht="15.75" customHeight="1" thickBot="1">
      <c r="C119" s="1062" t="s">
        <v>1499</v>
      </c>
      <c r="D119" s="1063"/>
      <c r="E119" s="1063"/>
      <c r="F119" s="1063"/>
      <c r="G119" s="1063"/>
      <c r="H119" s="1063"/>
      <c r="I119" s="1063"/>
      <c r="J119" s="1063"/>
      <c r="K119" s="894"/>
      <c r="L119" s="895"/>
    </row>
    <row r="120" spans="1:12" ht="15.75" customHeight="1" thickBot="1">
      <c r="C120" s="1062" t="s">
        <v>1724</v>
      </c>
      <c r="D120" s="1063"/>
      <c r="E120" s="1063"/>
      <c r="F120" s="1063"/>
      <c r="G120" s="1063"/>
      <c r="H120" s="1063"/>
      <c r="I120" s="1063"/>
      <c r="J120" s="1063"/>
      <c r="K120" s="1063"/>
      <c r="L120" s="1064"/>
    </row>
  </sheetData>
  <mergeCells count="20">
    <mergeCell ref="E75:F75"/>
    <mergeCell ref="G75:H75"/>
    <mergeCell ref="I75:J75"/>
    <mergeCell ref="C119:J119"/>
    <mergeCell ref="C120:L120"/>
    <mergeCell ref="A1:H1"/>
    <mergeCell ref="A3:H3"/>
    <mergeCell ref="I3:J3"/>
    <mergeCell ref="E5:F5"/>
    <mergeCell ref="G5:H5"/>
    <mergeCell ref="I5:J5"/>
    <mergeCell ref="A71:J71"/>
    <mergeCell ref="A73:H73"/>
    <mergeCell ref="A35:J35"/>
    <mergeCell ref="A37:H37"/>
    <mergeCell ref="I37:J37"/>
    <mergeCell ref="E39:F39"/>
    <mergeCell ref="G39:H39"/>
    <mergeCell ref="I39:J39"/>
    <mergeCell ref="I73:J73"/>
  </mergeCells>
  <printOptions horizontalCentered="1"/>
  <pageMargins left="0.31496062992125984" right="0.23622047244094491" top="0.31496062992125984" bottom="0.31496062992125984" header="0" footer="0"/>
  <pageSetup scale="73" orientation="landscape" verticalDpi="300" r:id="rId1"/>
  <headerFooter alignWithMargins="0"/>
  <rowBreaks count="2" manualBreakCount="2">
    <brk id="34" max="9" man="1"/>
    <brk id="70" max="9" man="1"/>
  </rowBreaks>
  <legacyDrawing r:id="rId2"/>
  <oleObjects>
    <oleObject progId="PBrush" shapeId="2049" r:id="rId3"/>
    <oleObject progId="PBrush" shapeId="2050" r:id="rId4"/>
    <oleObject progId="PBrush" shapeId="2051" r:id="rId5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O43"/>
  <sheetViews>
    <sheetView tabSelected="1" view="pageBreakPreview" zoomScale="80" zoomScaleSheetLayoutView="80" workbookViewId="0">
      <selection activeCell="M42" sqref="M42"/>
    </sheetView>
  </sheetViews>
  <sheetFormatPr defaultColWidth="0.140625" defaultRowHeight="15"/>
  <cols>
    <col min="1" max="1" width="4.7109375" style="896" customWidth="1"/>
    <col min="2" max="2" width="4.7109375" style="897" customWidth="1"/>
    <col min="3" max="3" width="35.5703125" style="898" customWidth="1"/>
    <col min="4" max="4" width="10.7109375" style="899" hidden="1" customWidth="1"/>
    <col min="5" max="6" width="17" style="899" customWidth="1"/>
    <col min="7" max="7" width="13.85546875" style="897" customWidth="1"/>
    <col min="8" max="8" width="16.140625" style="897" customWidth="1"/>
    <col min="9" max="9" width="14.42578125" style="897" customWidth="1"/>
    <col min="10" max="10" width="17.28515625" style="897" bestFit="1" customWidth="1"/>
    <col min="11" max="11" width="9.140625" style="897" hidden="1" customWidth="1"/>
    <col min="12" max="12" width="11" style="897" hidden="1" customWidth="1"/>
    <col min="13" max="13" width="18.140625" style="897" customWidth="1"/>
    <col min="14" max="14" width="20.28515625" style="897" bestFit="1" customWidth="1"/>
    <col min="15" max="15" width="21.7109375" style="897" bestFit="1" customWidth="1"/>
    <col min="16" max="240" width="9.140625" style="897" customWidth="1"/>
    <col min="241" max="242" width="4.7109375" style="897" customWidth="1"/>
    <col min="243" max="243" width="46.5703125" style="897" bestFit="1" customWidth="1"/>
    <col min="244" max="244" width="9.140625" style="897" customWidth="1"/>
    <col min="245" max="16384" width="0.140625" style="897"/>
  </cols>
  <sheetData>
    <row r="1" spans="1:15" s="650" customFormat="1">
      <c r="A1" s="1115" t="s">
        <v>1537</v>
      </c>
      <c r="B1" s="1115"/>
      <c r="C1" s="1115"/>
      <c r="D1" s="1115"/>
      <c r="E1" s="1115"/>
      <c r="F1" s="1115"/>
      <c r="G1" s="1115"/>
      <c r="H1" s="1115"/>
      <c r="I1" s="1116" t="s">
        <v>1538</v>
      </c>
      <c r="J1" s="1116"/>
    </row>
    <row r="2" spans="1:15" ht="18.75" customHeight="1" thickBot="1">
      <c r="I2" s="1117" t="s">
        <v>1539</v>
      </c>
      <c r="J2" s="1117"/>
    </row>
    <row r="3" spans="1:15" ht="26.25" customHeight="1" thickBot="1">
      <c r="A3" s="900"/>
      <c r="B3" s="901"/>
      <c r="C3" s="902"/>
      <c r="D3" s="903"/>
      <c r="E3" s="1068" t="str">
        <f>'REVENUE DATA -SOP'!E75:F75</f>
        <v>Current Year 23-24 ***</v>
      </c>
      <c r="F3" s="1069"/>
      <c r="G3" s="1068" t="str">
        <f>'REVENUE DATA -SOP'!G75:H75</f>
        <v>Previous  Year 22-23*</v>
      </c>
      <c r="H3" s="1069"/>
      <c r="I3" s="1118" t="s">
        <v>1540</v>
      </c>
      <c r="J3" s="1119"/>
    </row>
    <row r="4" spans="1:15" ht="0.75" customHeight="1" thickBot="1">
      <c r="A4" s="600"/>
      <c r="B4" s="904"/>
      <c r="C4" s="905"/>
      <c r="D4" s="906"/>
      <c r="E4" s="906"/>
      <c r="F4" s="906"/>
      <c r="G4" s="601"/>
      <c r="H4" s="601"/>
      <c r="I4" s="602"/>
      <c r="J4" s="604"/>
    </row>
    <row r="5" spans="1:15" ht="78" customHeight="1" thickBot="1">
      <c r="A5" s="900"/>
      <c r="B5" s="901"/>
      <c r="C5" s="907"/>
      <c r="D5" s="908" t="s">
        <v>1541</v>
      </c>
      <c r="E5" s="676" t="str">
        <f>'Glance-SOP'!E7</f>
        <v>4th Quarter Jan'24 to Mar'24</v>
      </c>
      <c r="F5" s="676" t="str">
        <f>'Glance-SOP'!F7</f>
        <v xml:space="preserve">Cumulative Up to 4th quarter </v>
      </c>
      <c r="G5" s="676" t="str">
        <f>'Glance-SOP'!G7</f>
        <v>4th Quarter Jan'23 to Mar'23</v>
      </c>
      <c r="H5" s="676" t="str">
        <f>'Glance-SOP'!H7</f>
        <v xml:space="preserve">Cumulative Up to 4th quarter </v>
      </c>
      <c r="I5" s="676" t="str">
        <f>'Glance-SOP'!I7</f>
        <v>4th  Quarter</v>
      </c>
      <c r="J5" s="677" t="str">
        <f>'Glance-SOP'!J7</f>
        <v>Cumulative up to 4th  Qtr</v>
      </c>
    </row>
    <row r="6" spans="1:15">
      <c r="A6" s="702" t="s">
        <v>1380</v>
      </c>
      <c r="B6" s="909"/>
      <c r="C6" s="910" t="s">
        <v>1542</v>
      </c>
      <c r="D6" s="911"/>
      <c r="E6" s="912"/>
      <c r="F6" s="913"/>
      <c r="G6" s="914"/>
      <c r="H6" s="915"/>
      <c r="I6" s="914"/>
      <c r="J6" s="915"/>
    </row>
    <row r="7" spans="1:15">
      <c r="A7" s="665"/>
      <c r="B7" s="916">
        <v>1</v>
      </c>
      <c r="C7" s="917" t="s">
        <v>1725</v>
      </c>
      <c r="D7" s="918">
        <v>61</v>
      </c>
      <c r="E7" s="642">
        <f>F7-18417.21</f>
        <v>6791.5799999999981</v>
      </c>
      <c r="F7" s="642">
        <f>F10-F8-F9</f>
        <v>25208.789999999997</v>
      </c>
      <c r="G7" s="641">
        <v>5474.89</v>
      </c>
      <c r="H7" s="642">
        <v>21479.21</v>
      </c>
      <c r="I7" s="685">
        <f t="shared" ref="I7:J10" si="0">E7/G7-1</f>
        <v>0.24049615608715391</v>
      </c>
      <c r="J7" s="919">
        <f t="shared" si="0"/>
        <v>0.17363673989872064</v>
      </c>
      <c r="K7" s="935">
        <f>18417.21-F7</f>
        <v>-6791.5799999999981</v>
      </c>
      <c r="N7" s="935"/>
    </row>
    <row r="8" spans="1:15">
      <c r="A8" s="920"/>
      <c r="B8" s="921">
        <v>2</v>
      </c>
      <c r="C8" s="922" t="s">
        <v>1543</v>
      </c>
      <c r="D8" s="923">
        <v>63.110999999999997</v>
      </c>
      <c r="E8" s="642">
        <f>F8-420.29</f>
        <v>92.479999999999961</v>
      </c>
      <c r="F8" s="642">
        <f>565.02-52.25</f>
        <v>512.77</v>
      </c>
      <c r="G8" s="1029">
        <v>42.18</v>
      </c>
      <c r="H8" s="1029">
        <v>200.73</v>
      </c>
      <c r="I8" s="632">
        <f t="shared" si="0"/>
        <v>1.1925082977714547</v>
      </c>
      <c r="J8" s="924">
        <f t="shared" si="0"/>
        <v>1.5545259801723708</v>
      </c>
    </row>
    <row r="9" spans="1:15" s="926" customFormat="1">
      <c r="A9" s="920"/>
      <c r="B9" s="921">
        <v>3</v>
      </c>
      <c r="C9" s="922" t="str">
        <f>'Glance-SOP'!C77</f>
        <v>Non Tariff Income</v>
      </c>
      <c r="D9" s="923" t="s">
        <v>1544</v>
      </c>
      <c r="E9" s="925">
        <f>F9-276.29</f>
        <v>128.28999999999996</v>
      </c>
      <c r="F9" s="925">
        <f>352.33+52.25</f>
        <v>404.58</v>
      </c>
      <c r="G9" s="641">
        <v>81.319999999999993</v>
      </c>
      <c r="H9" s="642">
        <v>284.83999999999997</v>
      </c>
      <c r="I9" s="632">
        <f t="shared" si="0"/>
        <v>0.57759468765371347</v>
      </c>
      <c r="J9" s="924">
        <f t="shared" si="0"/>
        <v>0.42037635163600617</v>
      </c>
      <c r="M9" s="926">
        <f>47.24+323.58+92.6+52.13</f>
        <v>515.54999999999995</v>
      </c>
    </row>
    <row r="10" spans="1:15" ht="15.75" thickBot="1">
      <c r="A10" s="927"/>
      <c r="B10" s="928">
        <v>4</v>
      </c>
      <c r="C10" s="929" t="s">
        <v>1545</v>
      </c>
      <c r="D10" s="930"/>
      <c r="E10" s="931">
        <f>SUM(E7:E9)</f>
        <v>7012.3499999999976</v>
      </c>
      <c r="F10" s="932">
        <v>26126.14</v>
      </c>
      <c r="G10" s="931">
        <f>SUM(G7:G9)</f>
        <v>5598.39</v>
      </c>
      <c r="H10" s="931">
        <f>SUM(H7:H9)</f>
        <v>21964.78</v>
      </c>
      <c r="I10" s="933">
        <f t="shared" si="0"/>
        <v>0.25256546971539984</v>
      </c>
      <c r="J10" s="934">
        <f t="shared" si="0"/>
        <v>0.18945602915212456</v>
      </c>
      <c r="K10" s="935"/>
      <c r="N10" s="935"/>
      <c r="O10" s="935"/>
    </row>
    <row r="11" spans="1:15" ht="15.75" thickBot="1">
      <c r="A11" s="600"/>
      <c r="B11" s="936"/>
      <c r="C11" s="936"/>
      <c r="D11" s="937"/>
      <c r="E11" s="938"/>
      <c r="F11" s="939"/>
      <c r="G11" s="940"/>
      <c r="H11" s="940"/>
      <c r="I11" s="940"/>
      <c r="J11" s="941"/>
      <c r="N11" s="935">
        <f>26126.14</f>
        <v>26126.14</v>
      </c>
      <c r="O11" s="935"/>
    </row>
    <row r="12" spans="1:15">
      <c r="A12" s="702" t="s">
        <v>1382</v>
      </c>
      <c r="B12" s="942"/>
      <c r="C12" s="943" t="s">
        <v>1546</v>
      </c>
      <c r="D12" s="944"/>
      <c r="E12" s="945"/>
      <c r="F12" s="946"/>
      <c r="G12" s="914"/>
      <c r="H12" s="914"/>
      <c r="I12" s="914"/>
      <c r="J12" s="915"/>
    </row>
    <row r="13" spans="1:15">
      <c r="A13" s="665"/>
      <c r="B13" s="947"/>
      <c r="C13" s="667" t="s">
        <v>1547</v>
      </c>
      <c r="D13" s="948"/>
      <c r="E13" s="949"/>
      <c r="F13" s="950"/>
      <c r="G13" s="682"/>
      <c r="H13" s="682"/>
      <c r="I13" s="682"/>
      <c r="J13" s="951"/>
    </row>
    <row r="14" spans="1:15">
      <c r="A14" s="665"/>
      <c r="B14" s="947">
        <v>1</v>
      </c>
      <c r="C14" s="947" t="s">
        <v>1720</v>
      </c>
      <c r="D14" s="952">
        <v>70</v>
      </c>
      <c r="E14" s="641">
        <f>F14-17689.56</f>
        <v>3367.0999999999985</v>
      </c>
      <c r="F14" s="641">
        <v>21056.66</v>
      </c>
      <c r="G14" s="641">
        <v>5361.17</v>
      </c>
      <c r="H14" s="641">
        <v>21015.1</v>
      </c>
      <c r="I14" s="685">
        <f>E14/G14-1</f>
        <v>-0.37194679519582508</v>
      </c>
      <c r="J14" s="919">
        <f>F14/H14-1</f>
        <v>1.9776256120600522E-3</v>
      </c>
    </row>
    <row r="15" spans="1:15">
      <c r="A15" s="665"/>
      <c r="B15" s="947">
        <v>2</v>
      </c>
      <c r="C15" s="947" t="s">
        <v>1548</v>
      </c>
      <c r="D15" s="952"/>
      <c r="E15" s="630"/>
      <c r="F15" s="649"/>
      <c r="G15" s="641"/>
      <c r="H15" s="641"/>
      <c r="I15" s="685"/>
      <c r="J15" s="919"/>
    </row>
    <row r="16" spans="1:15">
      <c r="A16" s="665"/>
      <c r="B16" s="947">
        <v>3</v>
      </c>
      <c r="C16" s="947" t="s">
        <v>1549</v>
      </c>
      <c r="D16" s="952"/>
      <c r="E16" s="720">
        <f>E14-E15</f>
        <v>3367.0999999999985</v>
      </c>
      <c r="F16" s="953">
        <f>F14-F15</f>
        <v>21056.66</v>
      </c>
      <c r="G16" s="720">
        <f>+G14</f>
        <v>5361.17</v>
      </c>
      <c r="H16" s="720">
        <f>+H14</f>
        <v>21015.1</v>
      </c>
      <c r="I16" s="685">
        <f>E16/G16-1</f>
        <v>-0.37194679519582508</v>
      </c>
      <c r="J16" s="919">
        <f>F16/H16-1</f>
        <v>1.9776256120600522E-3</v>
      </c>
    </row>
    <row r="17" spans="1:13">
      <c r="A17" s="665"/>
      <c r="B17" s="954">
        <v>4</v>
      </c>
      <c r="C17" s="947" t="s">
        <v>1550</v>
      </c>
      <c r="D17" s="952"/>
      <c r="E17" s="630">
        <v>0</v>
      </c>
      <c r="F17" s="649">
        <v>0</v>
      </c>
      <c r="G17" s="687">
        <v>0</v>
      </c>
      <c r="H17" s="687">
        <v>0</v>
      </c>
      <c r="I17" s="682" t="s">
        <v>1551</v>
      </c>
      <c r="J17" s="951" t="s">
        <v>1551</v>
      </c>
    </row>
    <row r="18" spans="1:13">
      <c r="A18" s="665"/>
      <c r="B18" s="954">
        <v>5</v>
      </c>
      <c r="C18" s="947" t="s">
        <v>1552</v>
      </c>
      <c r="D18" s="952">
        <v>75</v>
      </c>
      <c r="E18" s="641">
        <f>F18-423.58</f>
        <v>109.69999999999999</v>
      </c>
      <c r="F18" s="641">
        <v>533.28</v>
      </c>
      <c r="G18" s="687">
        <v>70.27</v>
      </c>
      <c r="H18" s="641">
        <v>457.32</v>
      </c>
      <c r="I18" s="685">
        <f t="shared" ref="I18:J20" si="1">E18/G18-1</f>
        <v>0.56112138892841879</v>
      </c>
      <c r="J18" s="919">
        <f t="shared" si="1"/>
        <v>0.16609813697192344</v>
      </c>
    </row>
    <row r="19" spans="1:13">
      <c r="A19" s="665"/>
      <c r="B19" s="954">
        <v>6</v>
      </c>
      <c r="C19" s="947" t="s">
        <v>1328</v>
      </c>
      <c r="D19" s="952">
        <v>74</v>
      </c>
      <c r="E19" s="641">
        <v>0</v>
      </c>
      <c r="F19" s="641">
        <v>66.2</v>
      </c>
      <c r="G19" s="641">
        <v>5.78</v>
      </c>
      <c r="H19" s="641">
        <v>68.53</v>
      </c>
      <c r="I19" s="685">
        <f t="shared" si="1"/>
        <v>-1</v>
      </c>
      <c r="J19" s="919">
        <f t="shared" si="1"/>
        <v>-3.3999708157011477E-2</v>
      </c>
    </row>
    <row r="20" spans="1:13">
      <c r="A20" s="665"/>
      <c r="B20" s="954">
        <v>7</v>
      </c>
      <c r="C20" s="954" t="s">
        <v>1553</v>
      </c>
      <c r="D20" s="923">
        <v>76</v>
      </c>
      <c r="E20" s="641">
        <f>F20-93.16-0.46</f>
        <v>1733.57</v>
      </c>
      <c r="F20" s="641">
        <v>1827.19</v>
      </c>
      <c r="G20" s="641">
        <v>30.29</v>
      </c>
      <c r="H20" s="641">
        <v>104.63</v>
      </c>
      <c r="I20" s="685">
        <f t="shared" si="1"/>
        <v>56.232419940574445</v>
      </c>
      <c r="J20" s="919">
        <f t="shared" si="1"/>
        <v>16.463347032399888</v>
      </c>
    </row>
    <row r="21" spans="1:13">
      <c r="A21" s="665"/>
      <c r="B21" s="954">
        <v>8</v>
      </c>
      <c r="C21" s="947" t="s">
        <v>1554</v>
      </c>
      <c r="D21" s="952"/>
      <c r="E21" s="641">
        <v>0</v>
      </c>
      <c r="F21" s="642">
        <v>0</v>
      </c>
      <c r="G21" s="687">
        <v>0</v>
      </c>
      <c r="H21" s="641">
        <v>0</v>
      </c>
      <c r="I21" s="685">
        <v>0</v>
      </c>
      <c r="J21" s="919">
        <v>0</v>
      </c>
    </row>
    <row r="22" spans="1:13">
      <c r="A22" s="665"/>
      <c r="B22" s="954">
        <v>9</v>
      </c>
      <c r="C22" s="947" t="s">
        <v>1483</v>
      </c>
      <c r="D22" s="948">
        <v>77100</v>
      </c>
      <c r="E22" s="641">
        <f>F22-333.53</f>
        <v>109.31</v>
      </c>
      <c r="F22" s="641">
        <v>442.84</v>
      </c>
      <c r="G22" s="687">
        <v>105.63</v>
      </c>
      <c r="H22" s="641">
        <v>404.1</v>
      </c>
      <c r="I22" s="685">
        <f t="shared" ref="I22:J24" si="2">E22/G22-1</f>
        <v>3.4838587522484143E-2</v>
      </c>
      <c r="J22" s="919">
        <f t="shared" si="2"/>
        <v>9.5867359564464127E-2</v>
      </c>
    </row>
    <row r="23" spans="1:13">
      <c r="A23" s="665"/>
      <c r="B23" s="954">
        <v>10</v>
      </c>
      <c r="C23" s="947" t="s">
        <v>1482</v>
      </c>
      <c r="D23" s="948">
        <v>78</v>
      </c>
      <c r="E23" s="641">
        <f>F23-133.98</f>
        <v>100.27000000000001</v>
      </c>
      <c r="F23" s="641">
        <v>234.25</v>
      </c>
      <c r="G23" s="687">
        <v>16.66</v>
      </c>
      <c r="H23" s="641">
        <v>97.84</v>
      </c>
      <c r="I23" s="685">
        <f t="shared" si="2"/>
        <v>5.0186074429771912</v>
      </c>
      <c r="J23" s="919">
        <f t="shared" si="2"/>
        <v>1.3942150449713817</v>
      </c>
      <c r="M23" s="935"/>
    </row>
    <row r="24" spans="1:13" ht="48" customHeight="1">
      <c r="A24" s="665"/>
      <c r="B24" s="954">
        <v>11</v>
      </c>
      <c r="C24" s="1036" t="s">
        <v>1555</v>
      </c>
      <c r="D24" s="948" t="s">
        <v>1556</v>
      </c>
      <c r="E24" s="641">
        <f>F24-1.46</f>
        <v>-2.4969000000000001</v>
      </c>
      <c r="F24" s="641">
        <f>-1.0369</f>
        <v>-1.0368999999999999</v>
      </c>
      <c r="G24" s="687">
        <v>2.33</v>
      </c>
      <c r="H24" s="641">
        <v>11.15</v>
      </c>
      <c r="I24" s="685">
        <f t="shared" si="2"/>
        <v>-2.0716309012875538</v>
      </c>
      <c r="J24" s="919">
        <f t="shared" si="2"/>
        <v>-1.0929955156950673</v>
      </c>
      <c r="M24" s="935"/>
    </row>
    <row r="25" spans="1:13">
      <c r="A25" s="665"/>
      <c r="B25" s="954">
        <v>12</v>
      </c>
      <c r="C25" s="947" t="s">
        <v>1557</v>
      </c>
      <c r="D25" s="948"/>
      <c r="E25" s="641">
        <f t="shared" ref="E25:E26" si="3">F25-0</f>
        <v>981.91</v>
      </c>
      <c r="F25" s="642">
        <v>981.91</v>
      </c>
      <c r="G25" s="641">
        <v>0</v>
      </c>
      <c r="H25" s="641">
        <v>0</v>
      </c>
      <c r="I25" s="685">
        <v>0</v>
      </c>
      <c r="J25" s="919">
        <v>0</v>
      </c>
      <c r="M25" s="935"/>
    </row>
    <row r="26" spans="1:13">
      <c r="A26" s="665"/>
      <c r="B26" s="947">
        <v>13</v>
      </c>
      <c r="C26" s="947" t="s">
        <v>1558</v>
      </c>
      <c r="D26" s="948"/>
      <c r="E26" s="641">
        <f t="shared" si="3"/>
        <v>28.32</v>
      </c>
      <c r="F26" s="641">
        <f>28.32</f>
        <v>28.32</v>
      </c>
      <c r="G26" s="682">
        <v>0</v>
      </c>
      <c r="H26" s="641">
        <f>-2.8</f>
        <v>-2.8</v>
      </c>
      <c r="I26" s="685">
        <v>0</v>
      </c>
      <c r="J26" s="919">
        <v>0</v>
      </c>
    </row>
    <row r="27" spans="1:13" ht="15.75" customHeight="1" thickBot="1">
      <c r="A27" s="927"/>
      <c r="B27" s="956">
        <v>14</v>
      </c>
      <c r="C27" s="957" t="s">
        <v>1559</v>
      </c>
      <c r="D27" s="930"/>
      <c r="E27" s="931">
        <f>SUM(E16:E26)</f>
        <v>6427.6830999999984</v>
      </c>
      <c r="F27" s="931">
        <f>SUM(F16:F26)</f>
        <v>25169.613099999999</v>
      </c>
      <c r="G27" s="931">
        <f t="shared" ref="G27:H27" si="4">SUM(G16:G25)</f>
        <v>5592.13</v>
      </c>
      <c r="H27" s="931">
        <f t="shared" si="4"/>
        <v>22158.67</v>
      </c>
      <c r="I27" s="958">
        <f>E27/G27-1</f>
        <v>0.14941589340734174</v>
      </c>
      <c r="J27" s="959">
        <f>F27/H27-1</f>
        <v>0.135881038889067</v>
      </c>
      <c r="K27" s="935">
        <f>5525.97+2.8</f>
        <v>5528.77</v>
      </c>
      <c r="L27" s="935">
        <f>11133.32+2.8</f>
        <v>11136.119999999999</v>
      </c>
    </row>
    <row r="28" spans="1:13" ht="15.75" hidden="1" thickBot="1">
      <c r="A28" s="960"/>
      <c r="B28" s="961"/>
      <c r="C28" s="961"/>
      <c r="D28" s="962"/>
      <c r="E28" s="963"/>
      <c r="F28" s="964"/>
      <c r="G28" s="709"/>
      <c r="H28" s="709"/>
      <c r="I28" s="965" t="e">
        <f>G28/#REF!-1</f>
        <v>#REF!</v>
      </c>
      <c r="J28" s="966"/>
    </row>
    <row r="29" spans="1:13" ht="38.25" hidden="1" customHeight="1" thickBot="1">
      <c r="A29" s="967" t="s">
        <v>1383</v>
      </c>
      <c r="B29" s="954"/>
      <c r="C29" s="955" t="s">
        <v>1560</v>
      </c>
      <c r="D29" s="968"/>
      <c r="E29" s="969">
        <f>E10-E27</f>
        <v>584.66689999999926</v>
      </c>
      <c r="F29" s="969">
        <f>F10-F27</f>
        <v>956.52690000000075</v>
      </c>
      <c r="G29" s="970"/>
      <c r="H29" s="969">
        <f>H10-H27</f>
        <v>-193.88999999999942</v>
      </c>
      <c r="I29" s="933"/>
      <c r="J29" s="934"/>
    </row>
    <row r="30" spans="1:13" ht="39" hidden="1" customHeight="1">
      <c r="A30" s="665"/>
      <c r="B30" s="947"/>
      <c r="C30" s="667"/>
      <c r="D30" s="948"/>
      <c r="E30" s="971"/>
      <c r="F30" s="971"/>
      <c r="G30" s="709"/>
      <c r="H30" s="972"/>
      <c r="I30" s="973" t="e">
        <f>+(G30-#REF!)/#REF!*100</f>
        <v>#REF!</v>
      </c>
      <c r="J30" s="966" t="e">
        <f>+(H30-#REF!)/#REF!*100</f>
        <v>#REF!</v>
      </c>
    </row>
    <row r="31" spans="1:13" ht="15.75" thickBot="1">
      <c r="A31" s="927" t="s">
        <v>1385</v>
      </c>
      <c r="B31" s="957"/>
      <c r="C31" s="974" t="s">
        <v>1561</v>
      </c>
      <c r="D31" s="930"/>
      <c r="E31" s="975"/>
      <c r="F31" s="975">
        <f>F10-F27</f>
        <v>956.52690000000075</v>
      </c>
      <c r="G31" s="976"/>
      <c r="H31" s="975"/>
      <c r="I31" s="977"/>
      <c r="J31" s="978"/>
      <c r="L31" s="935">
        <f>+L27-F27</f>
        <v>-14033.4931</v>
      </c>
    </row>
    <row r="32" spans="1:13" ht="14.25" customHeight="1" thickBot="1">
      <c r="A32" s="1109" t="s">
        <v>1499</v>
      </c>
      <c r="B32" s="1110"/>
      <c r="C32" s="1110"/>
      <c r="D32" s="1110"/>
      <c r="E32" s="1110"/>
      <c r="F32" s="1110"/>
      <c r="G32" s="1110"/>
      <c r="H32" s="1110"/>
      <c r="I32" s="1110"/>
      <c r="J32" s="1111"/>
    </row>
    <row r="33" spans="1:10" ht="30.75" customHeight="1" thickBot="1">
      <c r="A33" s="1112" t="s">
        <v>1721</v>
      </c>
      <c r="B33" s="1113"/>
      <c r="C33" s="1113"/>
      <c r="D33" s="1113"/>
      <c r="E33" s="1113"/>
      <c r="F33" s="1113"/>
      <c r="G33" s="1113"/>
      <c r="H33" s="1113"/>
      <c r="I33" s="1113"/>
      <c r="J33" s="1114"/>
    </row>
    <row r="34" spans="1:10" ht="14.25" customHeight="1" thickBot="1">
      <c r="A34" s="1109" t="s">
        <v>1722</v>
      </c>
      <c r="B34" s="1110"/>
      <c r="C34" s="1110"/>
      <c r="D34" s="1110"/>
      <c r="E34" s="1110"/>
      <c r="F34" s="1110"/>
      <c r="G34" s="1110"/>
      <c r="H34" s="1110"/>
      <c r="I34" s="1110"/>
      <c r="J34" s="1111"/>
    </row>
    <row r="36" spans="1:10">
      <c r="E36" s="979"/>
      <c r="F36" s="979"/>
    </row>
    <row r="38" spans="1:10">
      <c r="F38" s="979"/>
    </row>
    <row r="39" spans="1:10">
      <c r="C39" s="595"/>
      <c r="E39" s="979"/>
      <c r="F39" s="979"/>
      <c r="G39" s="979"/>
      <c r="H39" s="979"/>
      <c r="I39" s="979"/>
      <c r="J39" s="979"/>
    </row>
    <row r="40" spans="1:10">
      <c r="E40" s="980"/>
    </row>
    <row r="41" spans="1:10">
      <c r="E41" s="980"/>
      <c r="F41" s="979"/>
      <c r="G41" s="935"/>
    </row>
    <row r="42" spans="1:10">
      <c r="E42" s="980"/>
    </row>
    <row r="43" spans="1:10">
      <c r="E43" s="979"/>
    </row>
  </sheetData>
  <mergeCells count="9">
    <mergeCell ref="A34:J34"/>
    <mergeCell ref="A32:J32"/>
    <mergeCell ref="A33:J33"/>
    <mergeCell ref="A1:H1"/>
    <mergeCell ref="I1:J1"/>
    <mergeCell ref="I2:J2"/>
    <mergeCell ref="E3:F3"/>
    <mergeCell ref="G3:H3"/>
    <mergeCell ref="I3:J3"/>
  </mergeCells>
  <printOptions horizontalCentered="1" verticalCentered="1"/>
  <pageMargins left="0.55118110236220474" right="0.74803149606299213" top="0.78740157480314965" bottom="0.59055118110236227" header="0.31496062992125984" footer="0.31496062992125984"/>
  <pageSetup paperSize="9" scale="80" orientation="landscape" r:id="rId1"/>
  <headerFooter alignWithMargins="0"/>
  <legacyDrawing r:id="rId2"/>
  <oleObjects>
    <oleObject progId="PBrush" shapeId="3073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N95"/>
  <sheetViews>
    <sheetView topLeftCell="B1" workbookViewId="0">
      <selection activeCell="A3" sqref="A3:N3"/>
    </sheetView>
  </sheetViews>
  <sheetFormatPr defaultRowHeight="12.75"/>
  <cols>
    <col min="1" max="1" width="4" bestFit="1" customWidth="1"/>
    <col min="2" max="2" width="16.42578125" customWidth="1"/>
    <col min="3" max="3" width="14.85546875" bestFit="1" customWidth="1"/>
    <col min="4" max="4" width="13.7109375" bestFit="1" customWidth="1"/>
    <col min="5" max="6" width="14.85546875" bestFit="1" customWidth="1"/>
    <col min="7" max="8" width="13.7109375" bestFit="1" customWidth="1"/>
    <col min="9" max="10" width="14.85546875" bestFit="1" customWidth="1"/>
    <col min="11" max="11" width="13.7109375" bestFit="1" customWidth="1"/>
    <col min="12" max="13" width="14.85546875" bestFit="1" customWidth="1"/>
  </cols>
  <sheetData>
    <row r="1" spans="1:14" ht="12.75" customHeight="1">
      <c r="A1" s="1121" t="s">
        <v>1046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121"/>
      <c r="N1" s="1121"/>
    </row>
    <row r="3" spans="1:14" ht="12.75" customHeight="1">
      <c r="A3" s="1121" t="s">
        <v>1688</v>
      </c>
      <c r="B3" s="1121"/>
      <c r="C3" s="1121"/>
      <c r="D3" s="1121"/>
      <c r="E3" s="1121"/>
      <c r="F3" s="1121"/>
      <c r="G3" s="1121"/>
      <c r="H3" s="1121"/>
      <c r="I3" s="1121"/>
      <c r="J3" s="1121"/>
      <c r="K3" s="1121"/>
      <c r="L3" s="1121"/>
      <c r="M3" s="1121"/>
      <c r="N3" s="1121"/>
    </row>
    <row r="4" spans="1:14" ht="24" customHeight="1">
      <c r="A4" s="1122" t="s">
        <v>1689</v>
      </c>
      <c r="B4" s="1122"/>
      <c r="C4" s="1122"/>
      <c r="D4" s="1122"/>
      <c r="E4" s="1121" t="s">
        <v>1690</v>
      </c>
      <c r="F4" s="1121"/>
      <c r="G4" s="1121"/>
      <c r="H4" s="1121"/>
      <c r="I4" s="1123" t="s">
        <v>1691</v>
      </c>
      <c r="J4" s="1123"/>
      <c r="K4" s="1123"/>
    </row>
    <row r="5" spans="1:14" ht="12.75" customHeight="1">
      <c r="A5" s="1122" t="s">
        <v>1692</v>
      </c>
      <c r="B5" s="1122"/>
      <c r="C5" s="1122"/>
      <c r="D5" s="1122" t="s">
        <v>1693</v>
      </c>
      <c r="E5" s="1122"/>
      <c r="F5" s="1121" t="s">
        <v>1694</v>
      </c>
      <c r="G5" s="1121"/>
      <c r="H5" s="1121"/>
      <c r="I5" s="1123" t="s">
        <v>1695</v>
      </c>
      <c r="J5" s="1123"/>
      <c r="K5" s="1123"/>
    </row>
    <row r="6" spans="1:14" ht="25.5" customHeight="1">
      <c r="A6" s="1120" t="s">
        <v>1562</v>
      </c>
      <c r="B6" s="1120"/>
      <c r="C6" s="1120"/>
      <c r="D6" s="1120"/>
      <c r="E6" s="1120"/>
      <c r="F6" s="1120"/>
      <c r="G6" s="1120"/>
      <c r="H6" s="1120"/>
      <c r="I6" s="1120"/>
      <c r="J6" s="1120"/>
      <c r="K6" s="1120"/>
      <c r="L6" s="1120"/>
      <c r="M6" s="1120"/>
      <c r="N6" s="1120"/>
    </row>
    <row r="7" spans="1:14" ht="24">
      <c r="A7" s="1031" t="s">
        <v>1563</v>
      </c>
      <c r="B7" s="1031" t="s">
        <v>1564</v>
      </c>
      <c r="C7" s="999"/>
      <c r="D7" s="1031" t="s">
        <v>1565</v>
      </c>
      <c r="E7" s="1032" t="s">
        <v>1566</v>
      </c>
      <c r="F7" s="1032" t="s">
        <v>1567</v>
      </c>
      <c r="G7" s="1032" t="s">
        <v>1568</v>
      </c>
      <c r="H7" s="1032" t="s">
        <v>1569</v>
      </c>
      <c r="I7" s="1032" t="s">
        <v>1570</v>
      </c>
      <c r="J7" s="1032" t="s">
        <v>1571</v>
      </c>
      <c r="K7" s="1032" t="s">
        <v>1572</v>
      </c>
      <c r="L7" s="1032" t="s">
        <v>1573</v>
      </c>
    </row>
    <row r="8" spans="1:14" ht="25.5" customHeight="1">
      <c r="A8" s="1120" t="s">
        <v>1562</v>
      </c>
      <c r="B8" s="1120"/>
      <c r="C8" s="1120"/>
      <c r="D8" s="1120"/>
      <c r="E8" s="1120"/>
      <c r="F8" s="1120"/>
      <c r="G8" s="1120"/>
      <c r="H8" s="1120"/>
      <c r="I8" s="1120"/>
      <c r="J8" s="1120"/>
      <c r="K8" s="1120"/>
      <c r="L8" s="1120"/>
      <c r="M8" s="1120"/>
      <c r="N8" s="1120"/>
    </row>
    <row r="9" spans="1:14">
      <c r="A9" s="999">
        <v>1</v>
      </c>
      <c r="B9" s="999" t="s">
        <v>1122</v>
      </c>
      <c r="C9" s="999"/>
      <c r="D9" s="1000">
        <v>26956203846.900002</v>
      </c>
      <c r="E9" s="1000">
        <v>220060753.94999999</v>
      </c>
      <c r="F9" s="1000">
        <v>0</v>
      </c>
      <c r="G9" s="1000">
        <v>3437206769.9000001</v>
      </c>
      <c r="H9" s="1000">
        <v>140608.1</v>
      </c>
      <c r="I9" s="1000">
        <v>1188.04</v>
      </c>
      <c r="J9" s="1000">
        <v>1821144.36</v>
      </c>
      <c r="K9" s="1000">
        <v>185797648.36000001</v>
      </c>
      <c r="L9" s="1000">
        <v>30801231959.610001</v>
      </c>
    </row>
    <row r="10" spans="1:14" ht="36">
      <c r="A10" s="999">
        <v>2</v>
      </c>
      <c r="B10" s="999" t="s">
        <v>1123</v>
      </c>
      <c r="C10" s="999"/>
      <c r="D10" s="1000">
        <v>995617640.38999999</v>
      </c>
      <c r="E10" s="1000">
        <v>190317.5</v>
      </c>
      <c r="F10" s="1000">
        <v>0</v>
      </c>
      <c r="G10" s="1000">
        <v>56779616.460000001</v>
      </c>
      <c r="H10" s="1000">
        <v>20664.5</v>
      </c>
      <c r="I10" s="1000">
        <v>0</v>
      </c>
      <c r="J10" s="1000">
        <v>1324967.7</v>
      </c>
      <c r="K10" s="1000">
        <v>6366742.0599999996</v>
      </c>
      <c r="L10" s="1000">
        <v>1060299948.61</v>
      </c>
    </row>
    <row r="11" spans="1:14" ht="36">
      <c r="A11" s="999">
        <v>3</v>
      </c>
      <c r="B11" s="999" t="s">
        <v>1124</v>
      </c>
      <c r="C11" s="999"/>
      <c r="D11" s="1000">
        <v>67868173159.870003</v>
      </c>
      <c r="E11" s="1000">
        <v>104453912.52</v>
      </c>
      <c r="F11" s="1000">
        <v>0</v>
      </c>
      <c r="G11" s="1000">
        <v>6667481569.3199997</v>
      </c>
      <c r="H11" s="1000">
        <v>175725.02</v>
      </c>
      <c r="I11" s="1000">
        <v>2340.79</v>
      </c>
      <c r="J11" s="1000">
        <v>29707569.030000001</v>
      </c>
      <c r="K11" s="1000">
        <v>146032420</v>
      </c>
      <c r="L11" s="1000">
        <v>74816026696.550003</v>
      </c>
    </row>
    <row r="12" spans="1:14">
      <c r="A12" s="999">
        <v>4</v>
      </c>
      <c r="B12" s="999" t="s">
        <v>1128</v>
      </c>
      <c r="C12" s="999"/>
      <c r="D12" s="1000">
        <v>1998292159.8599999</v>
      </c>
      <c r="E12" s="1000">
        <v>31201642.629999999</v>
      </c>
      <c r="F12" s="1000">
        <v>0</v>
      </c>
      <c r="G12" s="1000">
        <v>68852992.25</v>
      </c>
      <c r="H12" s="1000">
        <v>22851</v>
      </c>
      <c r="I12" s="1000">
        <v>5637.5</v>
      </c>
      <c r="J12" s="1000">
        <v>273096.5</v>
      </c>
      <c r="K12" s="1000">
        <v>36611643.420000002</v>
      </c>
      <c r="L12" s="1000">
        <v>2135260023.1600001</v>
      </c>
    </row>
    <row r="13" spans="1:14">
      <c r="A13" s="999">
        <v>5</v>
      </c>
      <c r="B13" s="999" t="s">
        <v>1127</v>
      </c>
      <c r="C13" s="999"/>
      <c r="D13" s="1000">
        <v>691658503.50999999</v>
      </c>
      <c r="E13" s="1000">
        <v>2126015.66</v>
      </c>
      <c r="F13" s="1000">
        <v>0</v>
      </c>
      <c r="G13" s="1000">
        <v>288029.32</v>
      </c>
      <c r="H13" s="1000">
        <v>98488.5</v>
      </c>
      <c r="I13" s="1000">
        <v>0</v>
      </c>
      <c r="J13" s="1000">
        <v>753090.72</v>
      </c>
      <c r="K13" s="1000">
        <v>13434516.84</v>
      </c>
      <c r="L13" s="1000">
        <v>708358644.54999995</v>
      </c>
    </row>
    <row r="14" spans="1:14">
      <c r="A14" s="999">
        <v>6</v>
      </c>
      <c r="B14" s="999" t="s">
        <v>1576</v>
      </c>
      <c r="C14" s="999"/>
      <c r="D14" s="1000">
        <v>0</v>
      </c>
      <c r="E14" s="1000">
        <v>0</v>
      </c>
      <c r="F14" s="1000">
        <v>0</v>
      </c>
      <c r="G14" s="1000">
        <v>0</v>
      </c>
      <c r="H14" s="1000">
        <v>0</v>
      </c>
      <c r="I14" s="1000">
        <v>0</v>
      </c>
      <c r="J14" s="1000">
        <v>0</v>
      </c>
      <c r="K14" s="1000">
        <v>0</v>
      </c>
      <c r="L14" s="1000">
        <v>0</v>
      </c>
    </row>
    <row r="15" spans="1:14">
      <c r="A15" s="999">
        <v>7</v>
      </c>
      <c r="B15" s="999" t="s">
        <v>1577</v>
      </c>
      <c r="C15" s="999"/>
      <c r="D15" s="1000">
        <v>1128376725.6700001</v>
      </c>
      <c r="E15" s="1000">
        <v>2893089.25</v>
      </c>
      <c r="F15" s="1000">
        <v>0</v>
      </c>
      <c r="G15" s="1000">
        <v>218331267.43000001</v>
      </c>
      <c r="H15" s="1000">
        <v>6381</v>
      </c>
      <c r="I15" s="1000">
        <v>0</v>
      </c>
      <c r="J15" s="1000">
        <v>37753</v>
      </c>
      <c r="K15" s="1000">
        <v>3042324.84</v>
      </c>
      <c r="L15" s="1000">
        <v>1352687541.1900001</v>
      </c>
    </row>
    <row r="16" spans="1:14">
      <c r="A16" s="999">
        <v>8</v>
      </c>
      <c r="B16" s="999" t="s">
        <v>1578</v>
      </c>
      <c r="C16" s="999"/>
      <c r="D16" s="1000">
        <v>0</v>
      </c>
      <c r="E16" s="1000">
        <v>0</v>
      </c>
      <c r="F16" s="1000">
        <v>0</v>
      </c>
      <c r="G16" s="1000">
        <v>0</v>
      </c>
      <c r="H16" s="1000">
        <v>2132085.19</v>
      </c>
      <c r="I16" s="1000">
        <v>0</v>
      </c>
      <c r="J16" s="1000">
        <v>0</v>
      </c>
      <c r="K16" s="1000">
        <v>0</v>
      </c>
      <c r="L16" s="1000">
        <v>2132085.19</v>
      </c>
    </row>
    <row r="17" spans="1:14">
      <c r="A17" s="999">
        <v>9</v>
      </c>
      <c r="B17" s="999" t="s">
        <v>1579</v>
      </c>
      <c r="C17" s="999"/>
      <c r="D17" s="1000">
        <v>0</v>
      </c>
      <c r="E17" s="1000">
        <v>0</v>
      </c>
      <c r="F17" s="1000">
        <v>0</v>
      </c>
      <c r="G17" s="1000">
        <v>0</v>
      </c>
      <c r="H17" s="1000">
        <v>0</v>
      </c>
      <c r="I17" s="1000">
        <v>0</v>
      </c>
      <c r="J17" s="1000">
        <v>0</v>
      </c>
      <c r="K17" s="1000">
        <v>0</v>
      </c>
      <c r="L17" s="1000">
        <v>0</v>
      </c>
    </row>
    <row r="18" spans="1:14">
      <c r="A18" s="999">
        <v>8</v>
      </c>
      <c r="B18" s="999" t="s">
        <v>1580</v>
      </c>
      <c r="C18" s="999"/>
      <c r="D18" s="1000">
        <v>118021092.2</v>
      </c>
      <c r="E18" s="1000">
        <v>14879959.050000001</v>
      </c>
      <c r="F18" s="1000">
        <v>0</v>
      </c>
      <c r="G18" s="1000">
        <v>12792423.359999999</v>
      </c>
      <c r="H18" s="1000">
        <v>20239.099999999999</v>
      </c>
      <c r="I18" s="1000">
        <v>-53850.95</v>
      </c>
      <c r="J18" s="1000">
        <v>1317557.71</v>
      </c>
      <c r="K18" s="1000">
        <v>22973538.420000002</v>
      </c>
      <c r="L18" s="1000">
        <v>169950958.88999999</v>
      </c>
    </row>
    <row r="19" spans="1:14">
      <c r="A19" s="999">
        <v>9</v>
      </c>
      <c r="B19" s="999" t="s">
        <v>1581</v>
      </c>
      <c r="C19" s="999"/>
      <c r="D19" s="1000">
        <v>13088188.050000001</v>
      </c>
      <c r="E19" s="1000">
        <v>14864.24</v>
      </c>
      <c r="F19" s="1000">
        <v>0</v>
      </c>
      <c r="G19" s="1000">
        <v>1528.79</v>
      </c>
      <c r="H19" s="1000">
        <v>0</v>
      </c>
      <c r="I19" s="1000">
        <v>0</v>
      </c>
      <c r="J19" s="1000">
        <v>590</v>
      </c>
      <c r="K19" s="1000">
        <v>173123.92</v>
      </c>
      <c r="L19" s="1000">
        <v>13278295</v>
      </c>
    </row>
    <row r="20" spans="1:14">
      <c r="A20" s="999">
        <v>10</v>
      </c>
      <c r="B20" s="999" t="s">
        <v>1582</v>
      </c>
      <c r="C20" s="999"/>
      <c r="D20" s="1000">
        <v>0</v>
      </c>
      <c r="E20" s="1000">
        <v>121652735.09</v>
      </c>
      <c r="F20" s="1000">
        <v>0</v>
      </c>
      <c r="G20" s="1000">
        <v>14360342.890000001</v>
      </c>
      <c r="H20" s="1000">
        <v>0</v>
      </c>
      <c r="I20" s="1000">
        <v>0</v>
      </c>
      <c r="J20" s="1000">
        <v>0</v>
      </c>
      <c r="K20" s="1000">
        <v>1543779.43</v>
      </c>
      <c r="L20" s="1000">
        <v>137556857.41</v>
      </c>
    </row>
    <row r="21" spans="1:14">
      <c r="A21" s="999">
        <v>11</v>
      </c>
      <c r="B21" s="999" t="s">
        <v>1583</v>
      </c>
      <c r="C21" s="999"/>
      <c r="D21" s="1000">
        <v>99638322036.199997</v>
      </c>
      <c r="E21" s="1000">
        <v>360925731.50999999</v>
      </c>
      <c r="F21" s="1000">
        <v>0</v>
      </c>
      <c r="G21" s="1000">
        <v>10448940244.68</v>
      </c>
      <c r="H21" s="1000">
        <v>2596803.31</v>
      </c>
      <c r="I21" s="1000">
        <v>9166.33</v>
      </c>
      <c r="J21" s="1000">
        <v>33917621.310000002</v>
      </c>
      <c r="K21" s="1000">
        <v>391285295.51999998</v>
      </c>
      <c r="L21" s="1000">
        <v>110875996898.86</v>
      </c>
    </row>
    <row r="22" spans="1:14">
      <c r="A22" s="999">
        <v>14</v>
      </c>
      <c r="B22" s="999" t="s">
        <v>1584</v>
      </c>
      <c r="C22" s="999"/>
      <c r="D22" s="1000">
        <v>131109280.25</v>
      </c>
      <c r="E22" s="1000">
        <v>14894823.289999999</v>
      </c>
      <c r="F22" s="1000">
        <v>0</v>
      </c>
      <c r="G22" s="1000">
        <v>12793952.15</v>
      </c>
      <c r="H22" s="1000">
        <v>20239.099999999999</v>
      </c>
      <c r="I22" s="1000">
        <v>-53850.95</v>
      </c>
      <c r="J22" s="1000">
        <v>1318147.71</v>
      </c>
      <c r="K22" s="1000">
        <v>23146662.34</v>
      </c>
      <c r="L22" s="1000">
        <v>183229253.88999999</v>
      </c>
    </row>
    <row r="23" spans="1:14">
      <c r="A23" s="999">
        <v>13</v>
      </c>
      <c r="B23" s="999" t="s">
        <v>1585</v>
      </c>
      <c r="C23" s="999"/>
      <c r="D23" s="1000">
        <v>0</v>
      </c>
      <c r="E23" s="1000">
        <v>121652735.09</v>
      </c>
      <c r="F23" s="1000">
        <v>0</v>
      </c>
      <c r="G23" s="1000">
        <v>14360342.890000001</v>
      </c>
      <c r="H23" s="1000">
        <v>0</v>
      </c>
      <c r="I23" s="1000">
        <v>0</v>
      </c>
      <c r="J23" s="1000">
        <v>0</v>
      </c>
      <c r="K23" s="1000">
        <v>1543779.43</v>
      </c>
      <c r="L23" s="1000">
        <v>137556857.41</v>
      </c>
    </row>
    <row r="24" spans="1:14">
      <c r="A24" s="999">
        <v>14</v>
      </c>
      <c r="B24" s="999" t="s">
        <v>1586</v>
      </c>
      <c r="C24" s="999"/>
      <c r="D24" s="1000">
        <v>99769431316.449997</v>
      </c>
      <c r="E24" s="1000">
        <v>497473289.88999999</v>
      </c>
      <c r="F24" s="1000">
        <v>0</v>
      </c>
      <c r="G24" s="1000">
        <v>10476094539.719999</v>
      </c>
      <c r="H24" s="1000">
        <v>2617042.41</v>
      </c>
      <c r="I24" s="1000">
        <v>-44684.62</v>
      </c>
      <c r="J24" s="1000">
        <v>35235769.020000003</v>
      </c>
      <c r="K24" s="1000">
        <v>415975737.29000002</v>
      </c>
      <c r="L24" s="1000">
        <v>111196783010.16</v>
      </c>
    </row>
    <row r="25" spans="1:14" ht="25.5" customHeight="1">
      <c r="A25" s="1120" t="s">
        <v>1562</v>
      </c>
      <c r="B25" s="1120"/>
      <c r="C25" s="1120"/>
      <c r="D25" s="1120"/>
      <c r="E25" s="1120"/>
      <c r="F25" s="1120"/>
      <c r="G25" s="1120"/>
      <c r="H25" s="1120"/>
      <c r="I25" s="1120"/>
      <c r="J25" s="1120"/>
      <c r="K25" s="1120"/>
      <c r="L25" s="1120"/>
      <c r="M25" s="1120"/>
      <c r="N25" s="1120"/>
    </row>
    <row r="26" spans="1:14" ht="12.75" customHeight="1">
      <c r="A26" s="1121" t="s">
        <v>1696</v>
      </c>
      <c r="B26" s="1121"/>
      <c r="C26" s="1121"/>
      <c r="D26" s="1121"/>
      <c r="E26" s="1121"/>
      <c r="F26" s="1121"/>
      <c r="G26" s="1121"/>
      <c r="H26" s="1121"/>
      <c r="I26" s="1121"/>
      <c r="J26" s="1121"/>
      <c r="K26" s="1121"/>
      <c r="L26" s="1121"/>
      <c r="M26" s="1121"/>
      <c r="N26" s="1121"/>
    </row>
    <row r="27" spans="1:14" ht="25.5" customHeight="1">
      <c r="A27" s="1120" t="s">
        <v>1562</v>
      </c>
      <c r="B27" s="1120"/>
      <c r="C27" s="1120"/>
      <c r="D27" s="1120"/>
      <c r="E27" s="1120"/>
      <c r="F27" s="1120"/>
      <c r="G27" s="1120"/>
      <c r="H27" s="1120"/>
      <c r="I27" s="1120"/>
      <c r="J27" s="1120"/>
      <c r="K27" s="1120"/>
      <c r="L27" s="1120"/>
      <c r="M27" s="1120"/>
      <c r="N27" s="1120"/>
    </row>
    <row r="28" spans="1:14" ht="24">
      <c r="A28" s="1031" t="s">
        <v>1563</v>
      </c>
      <c r="B28" s="1031" t="s">
        <v>1564</v>
      </c>
      <c r="C28" s="999"/>
      <c r="D28" s="1032" t="s">
        <v>1587</v>
      </c>
      <c r="E28" s="1032" t="s">
        <v>1588</v>
      </c>
      <c r="F28" s="1032" t="s">
        <v>1589</v>
      </c>
      <c r="G28" s="1032" t="s">
        <v>1590</v>
      </c>
      <c r="H28" s="1032" t="s">
        <v>1591</v>
      </c>
      <c r="I28" s="1032" t="s">
        <v>1592</v>
      </c>
      <c r="J28" s="1032" t="s">
        <v>1697</v>
      </c>
      <c r="K28" s="1032" t="s">
        <v>1593</v>
      </c>
      <c r="L28" s="1032" t="s">
        <v>1594</v>
      </c>
    </row>
    <row r="29" spans="1:14" ht="25.5" customHeight="1">
      <c r="A29" s="1120" t="s">
        <v>1562</v>
      </c>
      <c r="B29" s="1120"/>
      <c r="C29" s="1120"/>
      <c r="D29" s="1120"/>
      <c r="E29" s="1120"/>
      <c r="F29" s="1120"/>
      <c r="G29" s="1120"/>
      <c r="H29" s="1120"/>
      <c r="I29" s="1120"/>
      <c r="J29" s="1120"/>
      <c r="K29" s="1120"/>
      <c r="L29" s="1120"/>
      <c r="M29" s="1120"/>
      <c r="N29" s="1120"/>
    </row>
    <row r="30" spans="1:14">
      <c r="A30" s="999">
        <v>1</v>
      </c>
      <c r="B30" s="999" t="s">
        <v>1122</v>
      </c>
      <c r="C30" s="999"/>
      <c r="D30" s="1000">
        <v>1476838</v>
      </c>
      <c r="E30" s="1000">
        <v>3809236717</v>
      </c>
      <c r="F30" s="1000">
        <v>576064865.32000005</v>
      </c>
      <c r="G30" s="1000">
        <v>13860747618.959999</v>
      </c>
      <c r="H30" s="1000">
        <v>12315541066.129999</v>
      </c>
      <c r="I30" s="1000">
        <v>0</v>
      </c>
      <c r="J30" s="1000">
        <v>135243936.87</v>
      </c>
      <c r="K30" s="1000">
        <v>68606359.620000005</v>
      </c>
      <c r="L30" s="1000">
        <v>26956203846.900002</v>
      </c>
    </row>
    <row r="31" spans="1:14" ht="36">
      <c r="A31" s="999">
        <v>2</v>
      </c>
      <c r="B31" s="999" t="s">
        <v>1123</v>
      </c>
      <c r="C31" s="999"/>
      <c r="D31" s="1000">
        <v>18475</v>
      </c>
      <c r="E31" s="1000">
        <v>132381396</v>
      </c>
      <c r="F31" s="1000">
        <v>24997453.09</v>
      </c>
      <c r="G31" s="1000">
        <v>516299179.82999998</v>
      </c>
      <c r="H31" s="1000">
        <v>427185784.98000002</v>
      </c>
      <c r="I31" s="1000">
        <v>0</v>
      </c>
      <c r="J31" s="1000">
        <v>15200768.42</v>
      </c>
      <c r="K31" s="1000">
        <v>11934454.07</v>
      </c>
      <c r="L31" s="1000">
        <v>995617640.38999999</v>
      </c>
    </row>
    <row r="32" spans="1:14" ht="36">
      <c r="A32" s="999">
        <v>3</v>
      </c>
      <c r="B32" s="999" t="s">
        <v>1124</v>
      </c>
      <c r="C32" s="999"/>
      <c r="D32" s="1000">
        <v>327617</v>
      </c>
      <c r="E32" s="1000">
        <v>8059635207</v>
      </c>
      <c r="F32" s="1000">
        <v>3927793051.0799999</v>
      </c>
      <c r="G32" s="1000">
        <v>37298352653.169998</v>
      </c>
      <c r="H32" s="1000">
        <v>26113136983.470001</v>
      </c>
      <c r="I32" s="1000">
        <v>8039.83</v>
      </c>
      <c r="J32" s="1000">
        <v>285958975.80000001</v>
      </c>
      <c r="K32" s="1000">
        <v>242923456.52000001</v>
      </c>
      <c r="L32" s="1000">
        <v>67868173159.870003</v>
      </c>
    </row>
    <row r="33" spans="1:14">
      <c r="A33" s="999">
        <v>4</v>
      </c>
      <c r="B33" s="999" t="s">
        <v>1128</v>
      </c>
      <c r="C33" s="999"/>
      <c r="D33" s="1000">
        <v>22296</v>
      </c>
      <c r="E33" s="1000">
        <v>287220895</v>
      </c>
      <c r="F33" s="1000">
        <v>16316856.710000001</v>
      </c>
      <c r="G33" s="1000">
        <v>1004243532.89</v>
      </c>
      <c r="H33" s="1000">
        <v>927897392.24000001</v>
      </c>
      <c r="I33" s="1000">
        <v>0</v>
      </c>
      <c r="J33" s="1000">
        <v>25370882.199999999</v>
      </c>
      <c r="K33" s="1000">
        <v>24463495.82</v>
      </c>
      <c r="L33" s="1000">
        <v>1998292159.8599999</v>
      </c>
    </row>
    <row r="34" spans="1:14">
      <c r="A34" s="999">
        <v>5</v>
      </c>
      <c r="B34" s="999" t="s">
        <v>1127</v>
      </c>
      <c r="C34" s="999"/>
      <c r="D34" s="1000">
        <v>136540</v>
      </c>
      <c r="E34" s="1000">
        <v>635839256</v>
      </c>
      <c r="F34" s="1000">
        <v>117501552</v>
      </c>
      <c r="G34" s="1000">
        <v>558643560.04999995</v>
      </c>
      <c r="H34" s="1000">
        <v>0</v>
      </c>
      <c r="I34" s="1000">
        <v>0</v>
      </c>
      <c r="J34" s="1000">
        <v>9681322.9900000002</v>
      </c>
      <c r="K34" s="1000">
        <v>5832068.4699999997</v>
      </c>
      <c r="L34" s="1000">
        <v>691658503.50999999</v>
      </c>
    </row>
    <row r="35" spans="1:14">
      <c r="A35" s="999">
        <v>6</v>
      </c>
      <c r="B35" s="999" t="s">
        <v>1576</v>
      </c>
      <c r="C35" s="999"/>
      <c r="D35" s="1000">
        <v>0</v>
      </c>
      <c r="E35" s="1000">
        <v>0</v>
      </c>
      <c r="F35" s="1000">
        <v>0</v>
      </c>
      <c r="G35" s="1000">
        <v>0</v>
      </c>
      <c r="H35" s="1000">
        <v>0</v>
      </c>
      <c r="I35" s="1000">
        <v>0</v>
      </c>
      <c r="J35" s="1000">
        <v>0</v>
      </c>
      <c r="K35" s="1000">
        <v>0</v>
      </c>
      <c r="L35" s="1000">
        <v>0</v>
      </c>
    </row>
    <row r="36" spans="1:14">
      <c r="A36" s="999">
        <v>7</v>
      </c>
      <c r="B36" s="999" t="s">
        <v>1577</v>
      </c>
      <c r="C36" s="999"/>
      <c r="D36" s="1000">
        <v>10838</v>
      </c>
      <c r="E36" s="1000">
        <v>90713424</v>
      </c>
      <c r="F36" s="1000">
        <v>392302683.32999998</v>
      </c>
      <c r="G36" s="1000">
        <v>421202607.93000001</v>
      </c>
      <c r="H36" s="1000">
        <v>292191642.87</v>
      </c>
      <c r="I36" s="1000">
        <v>0</v>
      </c>
      <c r="J36" s="1000">
        <v>9480321.7599999998</v>
      </c>
      <c r="K36" s="1000">
        <v>13199469.779999999</v>
      </c>
      <c r="L36" s="1000">
        <v>1128376725.6700001</v>
      </c>
    </row>
    <row r="37" spans="1:14">
      <c r="A37" s="999">
        <v>8</v>
      </c>
      <c r="B37" s="999" t="s">
        <v>1578</v>
      </c>
      <c r="C37" s="999"/>
      <c r="D37" s="1000">
        <v>894</v>
      </c>
      <c r="E37" s="1000">
        <v>0</v>
      </c>
      <c r="F37" s="1000">
        <v>0</v>
      </c>
      <c r="G37" s="1000">
        <v>0</v>
      </c>
      <c r="H37" s="1000">
        <v>0</v>
      </c>
      <c r="I37" s="1000">
        <v>0</v>
      </c>
      <c r="J37" s="1000">
        <v>0</v>
      </c>
      <c r="K37" s="1000">
        <v>0</v>
      </c>
      <c r="L37" s="1000">
        <v>0</v>
      </c>
    </row>
    <row r="38" spans="1:14">
      <c r="A38" s="999">
        <v>9</v>
      </c>
      <c r="B38" s="999" t="s">
        <v>1579</v>
      </c>
      <c r="C38" s="999"/>
      <c r="D38" s="1000"/>
      <c r="E38" s="1000"/>
      <c r="F38" s="1000">
        <v>0</v>
      </c>
      <c r="G38" s="1000">
        <v>0</v>
      </c>
      <c r="H38" s="1000">
        <v>0</v>
      </c>
      <c r="I38" s="1000">
        <v>0</v>
      </c>
      <c r="J38" s="1000">
        <v>0</v>
      </c>
      <c r="K38" s="1000">
        <v>0</v>
      </c>
      <c r="L38" s="1000">
        <v>0</v>
      </c>
    </row>
    <row r="39" spans="1:14">
      <c r="A39" s="999">
        <v>8</v>
      </c>
      <c r="B39" s="999" t="s">
        <v>1580</v>
      </c>
      <c r="C39" s="999"/>
      <c r="D39" s="1000">
        <v>277276</v>
      </c>
      <c r="E39" s="1000">
        <v>5737518</v>
      </c>
      <c r="F39" s="1000">
        <v>0</v>
      </c>
      <c r="G39" s="1000">
        <v>0</v>
      </c>
      <c r="H39" s="1000">
        <v>0</v>
      </c>
      <c r="I39" s="1000">
        <v>0</v>
      </c>
      <c r="J39" s="1000">
        <v>0</v>
      </c>
      <c r="K39" s="1000">
        <v>118021092.2</v>
      </c>
      <c r="L39" s="1000">
        <v>118021092.2</v>
      </c>
    </row>
    <row r="40" spans="1:14">
      <c r="A40" s="999">
        <v>9</v>
      </c>
      <c r="B40" s="999" t="s">
        <v>1581</v>
      </c>
      <c r="C40" s="999"/>
      <c r="D40" s="1000">
        <v>5931</v>
      </c>
      <c r="E40" s="1000">
        <v>0</v>
      </c>
      <c r="F40" s="1000">
        <v>12694926.210000001</v>
      </c>
      <c r="G40" s="1000">
        <v>0</v>
      </c>
      <c r="H40" s="1000">
        <v>0</v>
      </c>
      <c r="I40" s="1000">
        <v>0</v>
      </c>
      <c r="J40" s="1000">
        <v>0</v>
      </c>
      <c r="K40" s="1000">
        <v>393261.84</v>
      </c>
      <c r="L40" s="1000">
        <v>13088188.050000001</v>
      </c>
    </row>
    <row r="41" spans="1:14">
      <c r="A41" s="999">
        <v>10</v>
      </c>
      <c r="B41" s="999" t="s">
        <v>1582</v>
      </c>
      <c r="C41" s="999"/>
      <c r="D41" s="1000">
        <v>99</v>
      </c>
      <c r="E41" s="1000">
        <v>9064132</v>
      </c>
      <c r="F41" s="1000">
        <v>0</v>
      </c>
      <c r="G41" s="1000">
        <v>0</v>
      </c>
      <c r="H41" s="1000">
        <v>0</v>
      </c>
      <c r="I41" s="1000">
        <v>0</v>
      </c>
      <c r="J41" s="1000">
        <v>0</v>
      </c>
      <c r="K41" s="1000">
        <v>0</v>
      </c>
      <c r="L41" s="1000">
        <v>0</v>
      </c>
    </row>
    <row r="42" spans="1:14">
      <c r="A42" s="999">
        <v>11</v>
      </c>
      <c r="B42" s="999" t="s">
        <v>1583</v>
      </c>
      <c r="C42" s="999"/>
      <c r="D42" s="1000">
        <v>1993498</v>
      </c>
      <c r="E42" s="1000">
        <v>13015026895</v>
      </c>
      <c r="F42" s="1000">
        <v>5054976461.5299997</v>
      </c>
      <c r="G42" s="1000">
        <v>53659489152.830002</v>
      </c>
      <c r="H42" s="1000">
        <v>40075952869.690002</v>
      </c>
      <c r="I42" s="1000">
        <v>8039.83</v>
      </c>
      <c r="J42" s="1000">
        <v>480936208.04000002</v>
      </c>
      <c r="K42" s="1000">
        <v>366959304.27999997</v>
      </c>
      <c r="L42" s="1000">
        <v>99638322036.199997</v>
      </c>
    </row>
    <row r="43" spans="1:14">
      <c r="A43" s="999">
        <v>14</v>
      </c>
      <c r="B43" s="999" t="s">
        <v>1595</v>
      </c>
      <c r="C43" s="999"/>
      <c r="D43" s="1000">
        <v>283207</v>
      </c>
      <c r="E43" s="1000">
        <v>5737518</v>
      </c>
      <c r="F43" s="1000">
        <v>12694926.210000001</v>
      </c>
      <c r="G43" s="1000">
        <v>0</v>
      </c>
      <c r="H43" s="1000">
        <v>0</v>
      </c>
      <c r="I43" s="1000">
        <v>0</v>
      </c>
      <c r="J43" s="1000">
        <v>0</v>
      </c>
      <c r="K43" s="1000">
        <v>118414354.04000001</v>
      </c>
      <c r="L43" s="1000">
        <v>131109280.25</v>
      </c>
    </row>
    <row r="44" spans="1:14">
      <c r="A44" s="999">
        <v>13</v>
      </c>
      <c r="B44" s="999" t="s">
        <v>1585</v>
      </c>
      <c r="C44" s="999"/>
      <c r="D44" s="1000">
        <v>99</v>
      </c>
      <c r="E44" s="1000">
        <v>9064132</v>
      </c>
      <c r="F44" s="1000">
        <v>0</v>
      </c>
      <c r="G44" s="1000">
        <v>0</v>
      </c>
      <c r="H44" s="1000">
        <v>0</v>
      </c>
      <c r="I44" s="1000">
        <v>0</v>
      </c>
      <c r="J44" s="1000">
        <v>0</v>
      </c>
      <c r="K44" s="1000">
        <v>0</v>
      </c>
      <c r="L44" s="1000">
        <v>0</v>
      </c>
    </row>
    <row r="45" spans="1:14">
      <c r="A45" s="999">
        <v>14</v>
      </c>
      <c r="B45" s="999" t="s">
        <v>1586</v>
      </c>
      <c r="C45" s="999"/>
      <c r="D45" s="1000">
        <v>2276804</v>
      </c>
      <c r="E45" s="1000">
        <v>13029828545</v>
      </c>
      <c r="F45" s="1000">
        <v>5067671387.7399998</v>
      </c>
      <c r="G45" s="1000">
        <v>53659489152.830002</v>
      </c>
      <c r="H45" s="1000">
        <v>40075952869.690002</v>
      </c>
      <c r="I45" s="1000">
        <v>8039.83</v>
      </c>
      <c r="J45" s="1000">
        <v>480936208.04000002</v>
      </c>
      <c r="K45" s="1000">
        <v>485373658.31999999</v>
      </c>
      <c r="L45" s="1000">
        <v>99769431316.449997</v>
      </c>
    </row>
    <row r="46" spans="1:14" ht="25.5" customHeight="1">
      <c r="A46" s="1120" t="s">
        <v>1562</v>
      </c>
      <c r="B46" s="1120"/>
      <c r="C46" s="1120"/>
      <c r="D46" s="1120"/>
      <c r="E46" s="1120"/>
      <c r="F46" s="1120"/>
      <c r="G46" s="1120"/>
      <c r="H46" s="1120"/>
      <c r="I46" s="1120"/>
      <c r="J46" s="1120"/>
      <c r="K46" s="1120"/>
      <c r="L46" s="1120"/>
      <c r="M46" s="1120"/>
      <c r="N46" s="1120"/>
    </row>
    <row r="47" spans="1:14">
      <c r="A47" s="1124"/>
      <c r="B47" s="1124"/>
      <c r="C47" s="1124"/>
      <c r="D47" s="1124"/>
      <c r="E47" s="1124"/>
      <c r="F47" s="1124"/>
      <c r="G47" s="1124"/>
      <c r="H47" s="1124"/>
      <c r="I47" s="1124"/>
      <c r="J47" s="1124"/>
      <c r="K47" s="1124"/>
      <c r="L47" s="1124"/>
      <c r="M47" s="1124"/>
      <c r="N47" s="1124"/>
    </row>
    <row r="48" spans="1:14">
      <c r="A48" s="1124"/>
      <c r="B48" s="1124"/>
      <c r="C48" s="1124"/>
      <c r="D48" s="1124"/>
      <c r="E48" s="1124"/>
      <c r="F48" s="1124"/>
      <c r="G48" s="1124"/>
      <c r="H48" s="1124"/>
      <c r="I48" s="1124"/>
      <c r="J48" s="1124"/>
      <c r="K48" s="1124"/>
      <c r="L48" s="1124"/>
      <c r="M48" s="1124"/>
      <c r="N48" s="1124"/>
    </row>
    <row r="49" spans="1:14" ht="12.75" customHeight="1">
      <c r="A49" s="1125" t="s">
        <v>1698</v>
      </c>
      <c r="B49" s="1125"/>
      <c r="C49" s="1125"/>
      <c r="D49" s="1125"/>
      <c r="E49" s="1125"/>
      <c r="F49" s="1125"/>
      <c r="G49" s="1125"/>
      <c r="H49" s="1125"/>
      <c r="I49" s="1125"/>
      <c r="J49" s="1125"/>
      <c r="K49" s="1125"/>
      <c r="L49" s="1125"/>
      <c r="M49" s="1125"/>
      <c r="N49" s="1125"/>
    </row>
    <row r="50" spans="1:14" ht="24" customHeight="1">
      <c r="A50" s="1122" t="s">
        <v>1689</v>
      </c>
      <c r="B50" s="1122"/>
      <c r="C50" s="1122"/>
      <c r="D50" s="1122"/>
      <c r="E50" s="1121" t="s">
        <v>1690</v>
      </c>
      <c r="F50" s="1121"/>
      <c r="G50" s="1121"/>
      <c r="H50" s="1121"/>
      <c r="I50" s="1123" t="s">
        <v>1691</v>
      </c>
      <c r="J50" s="1123"/>
      <c r="K50" s="1123"/>
    </row>
    <row r="51" spans="1:14" ht="24" customHeight="1">
      <c r="A51" s="1122" t="s">
        <v>1692</v>
      </c>
      <c r="B51" s="1122"/>
      <c r="C51" s="1121" t="s">
        <v>1693</v>
      </c>
      <c r="D51" s="1121"/>
      <c r="E51" s="1121"/>
      <c r="F51" s="1121" t="s">
        <v>1694</v>
      </c>
      <c r="G51" s="1121"/>
      <c r="H51" s="1121"/>
      <c r="I51" s="1123" t="s">
        <v>1695</v>
      </c>
      <c r="J51" s="1123"/>
      <c r="K51" s="1123"/>
    </row>
    <row r="52" spans="1:14" ht="25.5" customHeight="1">
      <c r="A52" s="1120" t="s">
        <v>1562</v>
      </c>
      <c r="B52" s="1120"/>
      <c r="C52" s="1120"/>
      <c r="D52" s="1120"/>
      <c r="E52" s="1120"/>
      <c r="F52" s="1120"/>
      <c r="G52" s="1120"/>
      <c r="H52" s="1120"/>
      <c r="I52" s="1120"/>
      <c r="J52" s="1120"/>
      <c r="K52" s="1120"/>
      <c r="L52" s="1120"/>
      <c r="M52" s="1120"/>
      <c r="N52" s="1120"/>
    </row>
    <row r="53" spans="1:14" ht="24">
      <c r="A53" s="1031" t="s">
        <v>1563</v>
      </c>
      <c r="B53" s="1031" t="s">
        <v>1564</v>
      </c>
      <c r="C53" s="999"/>
      <c r="D53" s="1032" t="s">
        <v>1587</v>
      </c>
      <c r="E53" s="1032" t="s">
        <v>1588</v>
      </c>
      <c r="F53" s="1032" t="s">
        <v>1596</v>
      </c>
      <c r="G53" s="1032" t="s">
        <v>1573</v>
      </c>
      <c r="H53" s="1032" t="s">
        <v>1597</v>
      </c>
      <c r="I53" s="1032" t="s">
        <v>1598</v>
      </c>
      <c r="J53" s="1032" t="s">
        <v>1599</v>
      </c>
      <c r="K53" s="1032" t="s">
        <v>1600</v>
      </c>
      <c r="L53" s="1032" t="s">
        <v>1601</v>
      </c>
    </row>
    <row r="54" spans="1:14" ht="25.5" customHeight="1">
      <c r="A54" s="1120" t="s">
        <v>1562</v>
      </c>
      <c r="B54" s="1120"/>
      <c r="C54" s="1120"/>
      <c r="D54" s="1120"/>
      <c r="E54" s="1120"/>
      <c r="F54" s="1120"/>
      <c r="G54" s="1120"/>
      <c r="H54" s="1120"/>
      <c r="I54" s="1120"/>
      <c r="J54" s="1120"/>
      <c r="K54" s="1120"/>
      <c r="L54" s="1120"/>
      <c r="M54" s="1120"/>
      <c r="N54" s="1120"/>
    </row>
    <row r="55" spans="1:14">
      <c r="A55" s="999">
        <v>1</v>
      </c>
      <c r="B55" s="999" t="s">
        <v>1122</v>
      </c>
      <c r="C55" s="999"/>
      <c r="D55" s="1000">
        <v>2910981</v>
      </c>
      <c r="E55" s="1000">
        <v>3809236717</v>
      </c>
      <c r="F55" s="1000">
        <v>-145132690.31999999</v>
      </c>
      <c r="G55" s="1000">
        <v>30801231959.610001</v>
      </c>
      <c r="H55" s="1000">
        <v>29856695990.560001</v>
      </c>
      <c r="I55" s="1000">
        <v>1016511582.14</v>
      </c>
      <c r="J55" s="1000">
        <v>-168296246.41999999</v>
      </c>
      <c r="K55" s="1000">
        <v>0</v>
      </c>
      <c r="L55" s="1000">
        <v>-385404549.82999998</v>
      </c>
    </row>
    <row r="56" spans="1:14" ht="36">
      <c r="A56" s="999">
        <v>2</v>
      </c>
      <c r="B56" s="999" t="s">
        <v>1123</v>
      </c>
      <c r="C56" s="999"/>
      <c r="D56" s="1000">
        <v>30192</v>
      </c>
      <c r="E56" s="1000">
        <v>132381396</v>
      </c>
      <c r="F56" s="1000">
        <v>-22412723.68</v>
      </c>
      <c r="G56" s="1000">
        <v>1060299948.61</v>
      </c>
      <c r="H56" s="1000">
        <v>932367201.62</v>
      </c>
      <c r="I56" s="1000">
        <v>130606156.41</v>
      </c>
      <c r="J56" s="1000">
        <v>-1924496.98</v>
      </c>
      <c r="K56" s="1000">
        <v>0</v>
      </c>
      <c r="L56" s="1000">
        <v>-27010630.079999998</v>
      </c>
    </row>
    <row r="57" spans="1:14" ht="36">
      <c r="A57" s="999">
        <v>3</v>
      </c>
      <c r="B57" s="999" t="s">
        <v>1124</v>
      </c>
      <c r="C57" s="999"/>
      <c r="D57" s="1000">
        <v>520994</v>
      </c>
      <c r="E57" s="1000">
        <v>8059635207</v>
      </c>
      <c r="F57" s="1000">
        <v>-3357251427.2199998</v>
      </c>
      <c r="G57" s="1000">
        <v>74816026696.550003</v>
      </c>
      <c r="H57" s="1000">
        <v>72696401103.639999</v>
      </c>
      <c r="I57" s="1000">
        <v>2179593807.3000002</v>
      </c>
      <c r="J57" s="1000">
        <v>-76623039.090000004</v>
      </c>
      <c r="K57" s="1000">
        <v>0</v>
      </c>
      <c r="L57" s="1000">
        <v>-3493842680.6999998</v>
      </c>
    </row>
    <row r="58" spans="1:14">
      <c r="A58" s="999">
        <v>4</v>
      </c>
      <c r="B58" s="999" t="s">
        <v>1128</v>
      </c>
      <c r="C58" s="999"/>
      <c r="D58" s="1000">
        <v>41672</v>
      </c>
      <c r="E58" s="1000">
        <v>287220895</v>
      </c>
      <c r="F58" s="1000">
        <v>153862339.96000001</v>
      </c>
      <c r="G58" s="1000">
        <v>2135260023.1600001</v>
      </c>
      <c r="H58" s="1000">
        <v>949360772.15999997</v>
      </c>
      <c r="I58" s="1000">
        <v>1295016738.51</v>
      </c>
      <c r="J58" s="1000">
        <v>-2324604.56</v>
      </c>
      <c r="K58" s="1000">
        <v>0</v>
      </c>
      <c r="L58" s="1000">
        <v>42420247.890000001</v>
      </c>
    </row>
    <row r="59" spans="1:14">
      <c r="A59" s="999">
        <v>5</v>
      </c>
      <c r="B59" s="999" t="s">
        <v>1127</v>
      </c>
      <c r="C59" s="999"/>
      <c r="D59" s="1000">
        <v>236135</v>
      </c>
      <c r="E59" s="1000">
        <v>635839256</v>
      </c>
      <c r="F59" s="1000">
        <v>73480355.400000006</v>
      </c>
      <c r="G59" s="1000">
        <v>708358644.54999995</v>
      </c>
      <c r="H59" s="1000">
        <v>653302624.42999995</v>
      </c>
      <c r="I59" s="1000">
        <v>24830178.629999999</v>
      </c>
      <c r="J59" s="1000">
        <v>-4502047.7300000004</v>
      </c>
      <c r="K59" s="1000">
        <v>0</v>
      </c>
      <c r="L59" s="1000">
        <v>99204149.159999996</v>
      </c>
    </row>
    <row r="60" spans="1:14">
      <c r="A60" s="999">
        <v>6</v>
      </c>
      <c r="B60" s="999" t="s">
        <v>1576</v>
      </c>
      <c r="C60" s="999"/>
      <c r="D60" s="1000">
        <v>0</v>
      </c>
      <c r="E60" s="1000">
        <v>0</v>
      </c>
      <c r="F60" s="1000">
        <v>0</v>
      </c>
      <c r="G60" s="1000">
        <v>0</v>
      </c>
      <c r="H60" s="1000">
        <v>0</v>
      </c>
      <c r="I60" s="1000">
        <v>0</v>
      </c>
      <c r="J60" s="1000">
        <v>0</v>
      </c>
      <c r="K60" s="1000">
        <v>0</v>
      </c>
      <c r="L60" s="1000">
        <v>0</v>
      </c>
    </row>
    <row r="61" spans="1:14">
      <c r="A61" s="999">
        <v>7</v>
      </c>
      <c r="B61" s="999" t="s">
        <v>1577</v>
      </c>
      <c r="C61" s="999"/>
      <c r="D61" s="1000">
        <v>10939</v>
      </c>
      <c r="E61" s="1000">
        <v>90713424</v>
      </c>
      <c r="F61" s="1000">
        <v>-71823043.140000001</v>
      </c>
      <c r="G61" s="1000">
        <v>1352687541.1900001</v>
      </c>
      <c r="H61" s="1000">
        <v>1323084856.8199999</v>
      </c>
      <c r="I61" s="1000">
        <v>33961449.030000001</v>
      </c>
      <c r="J61" s="1000">
        <v>-2220174.91</v>
      </c>
      <c r="K61" s="1000">
        <v>0</v>
      </c>
      <c r="L61" s="1000">
        <v>-78401982.709999993</v>
      </c>
    </row>
    <row r="62" spans="1:14">
      <c r="A62" s="999">
        <v>8</v>
      </c>
      <c r="B62" s="999" t="s">
        <v>1578</v>
      </c>
      <c r="C62" s="999"/>
      <c r="D62" s="1000">
        <v>246970</v>
      </c>
      <c r="E62" s="1000">
        <v>0</v>
      </c>
      <c r="F62" s="1000">
        <v>810260.62</v>
      </c>
      <c r="G62" s="1000">
        <v>2132085.19</v>
      </c>
      <c r="H62" s="1000">
        <v>2180359.48</v>
      </c>
      <c r="I62" s="1000">
        <v>-3062.6</v>
      </c>
      <c r="J62" s="1000">
        <v>0</v>
      </c>
      <c r="K62" s="1000">
        <v>0</v>
      </c>
      <c r="L62" s="1000">
        <v>765048.93</v>
      </c>
    </row>
    <row r="63" spans="1:14">
      <c r="A63" s="999">
        <v>9</v>
      </c>
      <c r="B63" s="999" t="s">
        <v>1579</v>
      </c>
      <c r="C63" s="999"/>
      <c r="D63" s="1000"/>
      <c r="E63" s="1000"/>
      <c r="F63" s="1000">
        <v>0</v>
      </c>
      <c r="G63" s="1000">
        <v>0</v>
      </c>
      <c r="H63" s="1000">
        <v>0</v>
      </c>
      <c r="I63" s="1000">
        <v>0</v>
      </c>
      <c r="J63" s="1000">
        <v>0</v>
      </c>
      <c r="K63" s="1000">
        <v>0</v>
      </c>
      <c r="L63" s="1000">
        <v>0</v>
      </c>
    </row>
    <row r="64" spans="1:14">
      <c r="A64" s="999">
        <v>8</v>
      </c>
      <c r="B64" s="999" t="s">
        <v>1580</v>
      </c>
      <c r="C64" s="999"/>
      <c r="D64" s="1000">
        <v>470092</v>
      </c>
      <c r="E64" s="1000">
        <v>5737518</v>
      </c>
      <c r="F64" s="1000">
        <v>2015456309.6099999</v>
      </c>
      <c r="G64" s="1000">
        <v>169950958.88999999</v>
      </c>
      <c r="H64" s="1000">
        <v>208295138.52000001</v>
      </c>
      <c r="I64" s="1000">
        <v>95343391.25</v>
      </c>
      <c r="J64" s="1000">
        <v>257666979.75999999</v>
      </c>
      <c r="K64" s="1000">
        <v>0</v>
      </c>
      <c r="L64" s="1000">
        <v>2139435718.49</v>
      </c>
    </row>
    <row r="65" spans="1:14">
      <c r="A65" s="999">
        <v>9</v>
      </c>
      <c r="B65" s="999" t="s">
        <v>1581</v>
      </c>
      <c r="C65" s="999"/>
      <c r="D65" s="1000">
        <v>8787</v>
      </c>
      <c r="E65" s="1000">
        <v>0</v>
      </c>
      <c r="F65" s="1000">
        <v>1607405.81</v>
      </c>
      <c r="G65" s="1000">
        <v>13278295</v>
      </c>
      <c r="H65" s="1000">
        <v>10754647.26</v>
      </c>
      <c r="I65" s="1000">
        <v>1246743.3999999999</v>
      </c>
      <c r="J65" s="1000">
        <v>-1784248.39</v>
      </c>
      <c r="K65" s="1000">
        <v>0</v>
      </c>
      <c r="L65" s="1000">
        <v>1100061.76</v>
      </c>
    </row>
    <row r="66" spans="1:14">
      <c r="A66" s="999">
        <v>10</v>
      </c>
      <c r="B66" s="999" t="s">
        <v>1582</v>
      </c>
      <c r="C66" s="999"/>
      <c r="D66" s="1000">
        <v>17384</v>
      </c>
      <c r="E66" s="1000">
        <v>9064132</v>
      </c>
      <c r="F66" s="1000">
        <v>477641265.88</v>
      </c>
      <c r="G66" s="1000">
        <v>137556857.41</v>
      </c>
      <c r="H66" s="1000">
        <v>101541662.48999999</v>
      </c>
      <c r="I66" s="1000">
        <v>2122760.83</v>
      </c>
      <c r="J66" s="1000">
        <v>0</v>
      </c>
      <c r="K66" s="1000">
        <v>0</v>
      </c>
      <c r="L66" s="1000">
        <v>511533699.97000003</v>
      </c>
    </row>
    <row r="67" spans="1:14">
      <c r="A67" s="999">
        <v>11</v>
      </c>
      <c r="B67" s="999" t="s">
        <v>1602</v>
      </c>
      <c r="C67" s="999"/>
      <c r="D67" s="1000">
        <v>0</v>
      </c>
      <c r="E67" s="1000">
        <v>0</v>
      </c>
      <c r="F67" s="1000">
        <v>0</v>
      </c>
      <c r="G67" s="1000">
        <v>0</v>
      </c>
      <c r="H67" s="1000">
        <v>0</v>
      </c>
      <c r="I67" s="1000">
        <v>0</v>
      </c>
      <c r="J67" s="1000">
        <v>0</v>
      </c>
      <c r="K67" s="1000">
        <v>0</v>
      </c>
      <c r="L67" s="1000">
        <v>0</v>
      </c>
    </row>
    <row r="68" spans="1:14" ht="24">
      <c r="A68" s="999">
        <v>14</v>
      </c>
      <c r="B68" s="999" t="s">
        <v>1603</v>
      </c>
      <c r="C68" s="999"/>
      <c r="D68" s="1000">
        <v>3997883</v>
      </c>
      <c r="E68" s="1000">
        <v>13015026895</v>
      </c>
      <c r="F68" s="1000">
        <v>-3368466928.3800001</v>
      </c>
      <c r="G68" s="1000">
        <v>110875996898.86</v>
      </c>
      <c r="H68" s="1000">
        <v>106413392908.71001</v>
      </c>
      <c r="I68" s="1000">
        <v>4680516849.4200001</v>
      </c>
      <c r="J68" s="1000">
        <v>-255890609.69</v>
      </c>
      <c r="K68" s="1000">
        <v>0</v>
      </c>
      <c r="L68" s="1000">
        <v>-3842270397.3400002</v>
      </c>
    </row>
    <row r="69" spans="1:14">
      <c r="A69" s="999">
        <v>13</v>
      </c>
      <c r="B69" s="999" t="s">
        <v>1595</v>
      </c>
      <c r="C69" s="999"/>
      <c r="D69" s="1000">
        <v>478879</v>
      </c>
      <c r="E69" s="1000">
        <v>5737518</v>
      </c>
      <c r="F69" s="1000">
        <v>2017063715.4200001</v>
      </c>
      <c r="G69" s="1000">
        <v>183229253.88999999</v>
      </c>
      <c r="H69" s="1000">
        <v>219049785.78</v>
      </c>
      <c r="I69" s="1000">
        <v>96590134.650000006</v>
      </c>
      <c r="J69" s="1000">
        <v>255882731.37</v>
      </c>
      <c r="K69" s="1000">
        <v>0</v>
      </c>
      <c r="L69" s="1000">
        <v>2140535780.25</v>
      </c>
    </row>
    <row r="70" spans="1:14">
      <c r="A70" s="999">
        <v>14</v>
      </c>
      <c r="B70" s="999" t="s">
        <v>1585</v>
      </c>
      <c r="C70" s="999"/>
      <c r="D70" s="1000">
        <v>17384</v>
      </c>
      <c r="E70" s="1000">
        <v>9064132</v>
      </c>
      <c r="F70" s="1000">
        <v>477641265.88</v>
      </c>
      <c r="G70" s="1000">
        <v>137556857.41</v>
      </c>
      <c r="H70" s="1000">
        <v>101541662.48999999</v>
      </c>
      <c r="I70" s="1000">
        <v>2122760.83</v>
      </c>
      <c r="J70" s="1000">
        <v>0</v>
      </c>
      <c r="K70" s="1000">
        <v>0</v>
      </c>
      <c r="L70" s="1000">
        <v>511533699.97000003</v>
      </c>
    </row>
    <row r="71" spans="1:14">
      <c r="A71" s="999">
        <v>15</v>
      </c>
      <c r="B71" s="999" t="s">
        <v>1586</v>
      </c>
      <c r="C71" s="999"/>
      <c r="D71" s="1000">
        <v>4494146</v>
      </c>
      <c r="E71" s="1000">
        <v>13029828545</v>
      </c>
      <c r="F71" s="1000">
        <v>-873761947.08000004</v>
      </c>
      <c r="G71" s="1000">
        <v>111196783010.16</v>
      </c>
      <c r="H71" s="1000">
        <v>106733984356.98</v>
      </c>
      <c r="I71" s="1000">
        <v>4779229744.8999996</v>
      </c>
      <c r="J71" s="1000">
        <v>0</v>
      </c>
      <c r="K71" s="1000">
        <v>0</v>
      </c>
      <c r="L71" s="1000">
        <v>-1190200917.1199999</v>
      </c>
    </row>
    <row r="72" spans="1:14" ht="25.5" customHeight="1">
      <c r="A72" s="1120" t="s">
        <v>1562</v>
      </c>
      <c r="B72" s="1120"/>
      <c r="C72" s="1120"/>
      <c r="D72" s="1120"/>
      <c r="E72" s="1120"/>
      <c r="F72" s="1120"/>
      <c r="G72" s="1120"/>
      <c r="H72" s="1120"/>
      <c r="I72" s="1120"/>
      <c r="J72" s="1120"/>
      <c r="K72" s="1120"/>
      <c r="L72" s="1120"/>
      <c r="M72" s="1120"/>
      <c r="N72" s="1120"/>
    </row>
    <row r="73" spans="1:14" ht="12.75" customHeight="1">
      <c r="A73" s="1125" t="s">
        <v>1699</v>
      </c>
      <c r="B73" s="1125"/>
      <c r="C73" s="1125"/>
      <c r="D73" s="1125"/>
      <c r="E73" s="1125"/>
      <c r="F73" s="1125"/>
      <c r="G73" s="1125"/>
      <c r="H73" s="1125"/>
      <c r="I73" s="1125"/>
      <c r="J73" s="1125"/>
      <c r="K73" s="1125"/>
      <c r="L73" s="1125"/>
      <c r="M73" s="1125"/>
      <c r="N73" s="1125"/>
    </row>
    <row r="74" spans="1:14" ht="25.5" customHeight="1">
      <c r="A74" s="1120" t="s">
        <v>1562</v>
      </c>
      <c r="B74" s="1120"/>
      <c r="C74" s="1120"/>
      <c r="D74" s="1120"/>
      <c r="E74" s="1120"/>
      <c r="F74" s="1120"/>
      <c r="G74" s="1120"/>
      <c r="H74" s="1120"/>
      <c r="I74" s="1120"/>
      <c r="J74" s="1120"/>
      <c r="K74" s="1120"/>
      <c r="L74" s="1120"/>
      <c r="M74" s="1120"/>
      <c r="N74" s="1120"/>
    </row>
    <row r="75" spans="1:14" ht="24">
      <c r="A75" s="1031" t="s">
        <v>1563</v>
      </c>
      <c r="B75" s="1031" t="s">
        <v>1564</v>
      </c>
      <c r="C75" s="1032" t="s">
        <v>1602</v>
      </c>
      <c r="D75" s="1032" t="s">
        <v>1604</v>
      </c>
      <c r="E75" s="1032" t="s">
        <v>1700</v>
      </c>
      <c r="F75" s="1032" t="s">
        <v>1605</v>
      </c>
      <c r="G75" s="1032" t="s">
        <v>1606</v>
      </c>
      <c r="H75" s="1032" t="s">
        <v>1607</v>
      </c>
      <c r="I75" s="1032" t="s">
        <v>1608</v>
      </c>
      <c r="J75" s="1032" t="s">
        <v>1609</v>
      </c>
      <c r="K75" s="1032" t="s">
        <v>1610</v>
      </c>
      <c r="L75" s="1032" t="s">
        <v>1611</v>
      </c>
      <c r="M75" s="1000"/>
    </row>
    <row r="76" spans="1:14" ht="24">
      <c r="A76" s="999"/>
      <c r="B76" s="999"/>
      <c r="C76" s="1032" t="s">
        <v>1612</v>
      </c>
      <c r="D76" s="1032" t="s">
        <v>1613</v>
      </c>
      <c r="E76" s="1032" t="s">
        <v>1614</v>
      </c>
      <c r="F76" s="1032" t="s">
        <v>1615</v>
      </c>
      <c r="G76" s="1032" t="s">
        <v>1616</v>
      </c>
      <c r="H76" s="1032" t="s">
        <v>1594</v>
      </c>
      <c r="I76" s="1032" t="s">
        <v>1617</v>
      </c>
      <c r="J76" s="1032" t="s">
        <v>1618</v>
      </c>
      <c r="K76" s="1032" t="s">
        <v>1619</v>
      </c>
      <c r="L76" s="1032" t="s">
        <v>1620</v>
      </c>
      <c r="M76" s="1032" t="s">
        <v>56</v>
      </c>
    </row>
    <row r="77" spans="1:14" ht="25.5" customHeight="1">
      <c r="A77" s="1120" t="s">
        <v>1562</v>
      </c>
      <c r="B77" s="1120"/>
      <c r="C77" s="1120"/>
      <c r="D77" s="1120"/>
      <c r="E77" s="1120"/>
      <c r="F77" s="1120"/>
      <c r="G77" s="1120"/>
      <c r="H77" s="1120"/>
      <c r="I77" s="1120"/>
      <c r="J77" s="1120"/>
      <c r="K77" s="1120"/>
      <c r="L77" s="1120"/>
      <c r="M77" s="1120"/>
      <c r="N77" s="1120"/>
    </row>
    <row r="78" spans="1:14">
      <c r="A78" s="999">
        <v>1</v>
      </c>
      <c r="B78" s="999" t="s">
        <v>1122</v>
      </c>
      <c r="C78" s="1000">
        <v>133672366.81999999</v>
      </c>
      <c r="D78" s="1000">
        <v>513504585.67000002</v>
      </c>
      <c r="E78" s="1000">
        <v>-53437462.609999999</v>
      </c>
      <c r="F78" s="1000">
        <v>-16264</v>
      </c>
      <c r="G78" s="1000">
        <v>132444875.26000001</v>
      </c>
      <c r="H78" s="1000">
        <v>28549.13</v>
      </c>
      <c r="I78" s="1000">
        <v>0</v>
      </c>
      <c r="J78" s="1000">
        <v>0</v>
      </c>
      <c r="K78" s="1000">
        <v>290312323.48000002</v>
      </c>
      <c r="L78" s="1000">
        <v>2608.39</v>
      </c>
      <c r="M78" s="1000">
        <v>1016511582.14</v>
      </c>
    </row>
    <row r="79" spans="1:14" ht="36">
      <c r="A79" s="999">
        <v>2</v>
      </c>
      <c r="B79" s="999" t="s">
        <v>1123</v>
      </c>
      <c r="C79" s="1000">
        <v>4896245.17</v>
      </c>
      <c r="D79" s="1000">
        <v>17157734.59</v>
      </c>
      <c r="E79" s="1000">
        <v>3222125.05</v>
      </c>
      <c r="F79" s="1000">
        <v>0</v>
      </c>
      <c r="G79" s="1000">
        <v>15379452.98</v>
      </c>
      <c r="H79" s="1000">
        <v>70026891.469999999</v>
      </c>
      <c r="I79" s="1000">
        <v>7425.85</v>
      </c>
      <c r="J79" s="1000">
        <v>15642024.82</v>
      </c>
      <c r="K79" s="1000">
        <v>4149733.5</v>
      </c>
      <c r="L79" s="1000">
        <v>124522.98</v>
      </c>
      <c r="M79" s="1000">
        <v>130606156.41</v>
      </c>
    </row>
    <row r="80" spans="1:14" ht="36">
      <c r="A80" s="999">
        <v>3</v>
      </c>
      <c r="B80" s="999" t="s">
        <v>1124</v>
      </c>
      <c r="C80" s="1000">
        <v>785343051.69000006</v>
      </c>
      <c r="D80" s="1000">
        <v>1011714555.1</v>
      </c>
      <c r="E80" s="1000">
        <v>84256112.730000004</v>
      </c>
      <c r="F80" s="1000">
        <v>17064</v>
      </c>
      <c r="G80" s="1000">
        <v>286961611.01999998</v>
      </c>
      <c r="H80" s="1000">
        <v>27652.51</v>
      </c>
      <c r="I80" s="1000">
        <v>18347.21</v>
      </c>
      <c r="J80" s="1000">
        <v>0</v>
      </c>
      <c r="K80" s="1000">
        <v>9869243.6899999995</v>
      </c>
      <c r="L80" s="1000">
        <v>1386169.35</v>
      </c>
      <c r="M80" s="1000">
        <v>2179593807.3000002</v>
      </c>
    </row>
    <row r="81" spans="1:14">
      <c r="A81" s="999">
        <v>4</v>
      </c>
      <c r="B81" s="999" t="s">
        <v>1128</v>
      </c>
      <c r="C81" s="1000">
        <v>4875957.55</v>
      </c>
      <c r="D81" s="1000">
        <v>49894964.060000002</v>
      </c>
      <c r="E81" s="1000">
        <v>49703646.700000003</v>
      </c>
      <c r="F81" s="1000">
        <v>-20374.48</v>
      </c>
      <c r="G81" s="1000">
        <v>24727213.16</v>
      </c>
      <c r="H81" s="1000">
        <v>1165634093.6700001</v>
      </c>
      <c r="I81" s="1000">
        <v>0</v>
      </c>
      <c r="J81" s="1000">
        <v>0</v>
      </c>
      <c r="K81" s="1000">
        <v>168233.33</v>
      </c>
      <c r="L81" s="1000">
        <v>33004.519999999997</v>
      </c>
      <c r="M81" s="1000">
        <v>1295016738.51</v>
      </c>
    </row>
    <row r="82" spans="1:14">
      <c r="A82" s="999">
        <v>5</v>
      </c>
      <c r="B82" s="999" t="s">
        <v>1127</v>
      </c>
      <c r="C82" s="1000">
        <v>844572.88</v>
      </c>
      <c r="D82" s="1000">
        <v>20052102.390000001</v>
      </c>
      <c r="E82" s="1000">
        <v>-16739828.710000001</v>
      </c>
      <c r="F82" s="1000">
        <v>-800</v>
      </c>
      <c r="G82" s="1000">
        <v>9829655.0700000003</v>
      </c>
      <c r="H82" s="1000">
        <v>0</v>
      </c>
      <c r="I82" s="1000">
        <v>0</v>
      </c>
      <c r="J82" s="1000">
        <v>0</v>
      </c>
      <c r="K82" s="1000">
        <v>10844477</v>
      </c>
      <c r="L82" s="1000">
        <v>0</v>
      </c>
      <c r="M82" s="1000">
        <v>24830178.629999999</v>
      </c>
    </row>
    <row r="83" spans="1:14">
      <c r="A83" s="999">
        <v>6</v>
      </c>
      <c r="B83" s="999" t="s">
        <v>1576</v>
      </c>
      <c r="C83" s="1000">
        <v>0</v>
      </c>
      <c r="D83" s="1000">
        <v>0</v>
      </c>
      <c r="E83" s="1000">
        <v>0</v>
      </c>
      <c r="F83" s="1000">
        <v>0</v>
      </c>
      <c r="G83" s="1000">
        <v>0</v>
      </c>
      <c r="H83" s="1000">
        <v>0</v>
      </c>
      <c r="I83" s="1000">
        <v>0</v>
      </c>
      <c r="J83" s="1000">
        <v>0</v>
      </c>
      <c r="K83" s="1000">
        <v>0</v>
      </c>
      <c r="L83" s="1000">
        <v>0</v>
      </c>
      <c r="M83" s="1000">
        <v>0</v>
      </c>
    </row>
    <row r="84" spans="1:14">
      <c r="A84" s="999">
        <v>7</v>
      </c>
      <c r="B84" s="999" t="s">
        <v>1577</v>
      </c>
      <c r="C84" s="1000">
        <v>5612228.9699999997</v>
      </c>
      <c r="D84" s="1000">
        <v>14048583.74</v>
      </c>
      <c r="E84" s="1000">
        <v>5272174.21</v>
      </c>
      <c r="F84" s="1000">
        <v>0</v>
      </c>
      <c r="G84" s="1000">
        <v>9028927.0399999991</v>
      </c>
      <c r="H84" s="1000">
        <v>0</v>
      </c>
      <c r="I84" s="1000">
        <v>0</v>
      </c>
      <c r="J84" s="1000">
        <v>0</v>
      </c>
      <c r="K84" s="1000">
        <v>-480</v>
      </c>
      <c r="L84" s="1000">
        <v>15.07</v>
      </c>
      <c r="M84" s="1000">
        <v>33961449.030000001</v>
      </c>
    </row>
    <row r="85" spans="1:14">
      <c r="A85" s="999">
        <v>8</v>
      </c>
      <c r="B85" s="999" t="s">
        <v>1578</v>
      </c>
      <c r="C85" s="1000">
        <v>0</v>
      </c>
      <c r="D85" s="1000">
        <v>0</v>
      </c>
      <c r="E85" s="1000">
        <v>-3062.6</v>
      </c>
      <c r="F85" s="1000">
        <v>0</v>
      </c>
      <c r="G85" s="1000">
        <v>0</v>
      </c>
      <c r="H85" s="1000">
        <v>0</v>
      </c>
      <c r="I85" s="1000">
        <v>0</v>
      </c>
      <c r="J85" s="1000">
        <v>0</v>
      </c>
      <c r="K85" s="1000">
        <v>0</v>
      </c>
      <c r="L85" s="1000">
        <v>0</v>
      </c>
      <c r="M85" s="1000">
        <v>-3062.6</v>
      </c>
    </row>
    <row r="86" spans="1:14">
      <c r="A86" s="999">
        <v>9</v>
      </c>
      <c r="B86" s="999" t="s">
        <v>1579</v>
      </c>
      <c r="C86" s="1000">
        <v>0</v>
      </c>
      <c r="D86" s="1000">
        <v>0</v>
      </c>
      <c r="E86" s="1000">
        <v>0</v>
      </c>
      <c r="F86" s="1000">
        <v>0</v>
      </c>
      <c r="G86" s="1000">
        <v>0</v>
      </c>
      <c r="H86" s="1000">
        <v>0</v>
      </c>
      <c r="I86" s="1000">
        <v>0</v>
      </c>
      <c r="J86" s="1000">
        <v>0</v>
      </c>
      <c r="K86" s="1000">
        <v>0</v>
      </c>
      <c r="L86" s="1000">
        <v>0</v>
      </c>
      <c r="M86" s="1000">
        <v>0</v>
      </c>
    </row>
    <row r="87" spans="1:14">
      <c r="A87" s="999">
        <v>8</v>
      </c>
      <c r="B87" s="999" t="s">
        <v>1580</v>
      </c>
      <c r="C87" s="1000">
        <v>1125156.24</v>
      </c>
      <c r="D87" s="1000">
        <v>21592113.239999998</v>
      </c>
      <c r="E87" s="1000">
        <v>72585525.239999995</v>
      </c>
      <c r="F87" s="1000">
        <v>20374.48</v>
      </c>
      <c r="G87" s="1000">
        <v>0</v>
      </c>
      <c r="H87" s="1000">
        <v>5507.26</v>
      </c>
      <c r="I87" s="1000">
        <v>0</v>
      </c>
      <c r="J87" s="1000">
        <v>6432.61</v>
      </c>
      <c r="K87" s="1000">
        <v>8310.2999999999993</v>
      </c>
      <c r="L87" s="1000">
        <v>-28.12</v>
      </c>
      <c r="M87" s="1000">
        <v>95343391.25</v>
      </c>
    </row>
    <row r="88" spans="1:14">
      <c r="A88" s="999">
        <v>9</v>
      </c>
      <c r="B88" s="999" t="s">
        <v>1581</v>
      </c>
      <c r="C88" s="1000">
        <v>30062.71</v>
      </c>
      <c r="D88" s="1000">
        <v>0.18</v>
      </c>
      <c r="E88" s="1000">
        <v>1216680.0900000001</v>
      </c>
      <c r="F88" s="1000">
        <v>0</v>
      </c>
      <c r="G88" s="1000">
        <v>0</v>
      </c>
      <c r="H88" s="1000">
        <v>0</v>
      </c>
      <c r="I88" s="1000">
        <v>0</v>
      </c>
      <c r="J88" s="1000">
        <v>0</v>
      </c>
      <c r="K88" s="1000">
        <v>0</v>
      </c>
      <c r="L88" s="1000">
        <v>0.42</v>
      </c>
      <c r="M88" s="1000">
        <v>1246743.3999999999</v>
      </c>
    </row>
    <row r="89" spans="1:14">
      <c r="A89" s="999">
        <v>10</v>
      </c>
      <c r="B89" s="999" t="s">
        <v>1582</v>
      </c>
      <c r="C89" s="1000"/>
      <c r="D89" s="1000">
        <v>3108820.84</v>
      </c>
      <c r="E89" s="1000">
        <v>-1206534.01</v>
      </c>
      <c r="F89" s="1000">
        <v>220474</v>
      </c>
      <c r="G89" s="1000"/>
      <c r="H89" s="1000"/>
      <c r="I89" s="1000"/>
      <c r="J89" s="1000"/>
      <c r="K89" s="1000">
        <v>0</v>
      </c>
      <c r="L89" s="1000">
        <v>0</v>
      </c>
      <c r="M89" s="1000">
        <v>2122760.83</v>
      </c>
    </row>
    <row r="90" spans="1:14">
      <c r="A90" s="999">
        <v>11</v>
      </c>
      <c r="B90" s="999" t="s">
        <v>1602</v>
      </c>
      <c r="C90" s="1000">
        <v>-936376522.02999997</v>
      </c>
      <c r="D90" s="1000">
        <v>0</v>
      </c>
      <c r="E90" s="1000">
        <v>0</v>
      </c>
      <c r="F90" s="1000">
        <v>0</v>
      </c>
      <c r="G90" s="1000">
        <v>0</v>
      </c>
      <c r="H90" s="1000">
        <v>0</v>
      </c>
      <c r="I90" s="1000">
        <v>0</v>
      </c>
      <c r="J90" s="1000">
        <v>0</v>
      </c>
      <c r="K90" s="1000">
        <v>0</v>
      </c>
      <c r="L90" s="1000">
        <v>0</v>
      </c>
      <c r="M90" s="1000">
        <v>-936376522.02999997</v>
      </c>
    </row>
    <row r="91" spans="1:14">
      <c r="A91" s="999">
        <v>14</v>
      </c>
      <c r="B91" s="999" t="s">
        <v>1583</v>
      </c>
      <c r="C91" s="1000">
        <v>0</v>
      </c>
      <c r="D91" s="1000">
        <v>1626372525.55</v>
      </c>
      <c r="E91" s="1000">
        <v>72273704.769999996</v>
      </c>
      <c r="F91" s="1000">
        <v>-20374.48</v>
      </c>
      <c r="G91" s="1000">
        <v>478371734.52999997</v>
      </c>
      <c r="H91" s="1000">
        <v>1235717186.78</v>
      </c>
      <c r="I91" s="1000">
        <v>0</v>
      </c>
      <c r="J91" s="1000">
        <v>15642024.82</v>
      </c>
      <c r="K91" s="1000">
        <v>0</v>
      </c>
      <c r="L91" s="1000">
        <v>1546320.31</v>
      </c>
      <c r="M91" s="1000">
        <v>3745272426.3400002</v>
      </c>
    </row>
    <row r="92" spans="1:14">
      <c r="A92" s="999">
        <v>13</v>
      </c>
      <c r="B92" s="999" t="s">
        <v>1595</v>
      </c>
      <c r="C92" s="1000">
        <v>0</v>
      </c>
      <c r="D92" s="1000">
        <v>21592113.420000002</v>
      </c>
      <c r="E92" s="1000">
        <v>73802205.329999998</v>
      </c>
      <c r="F92" s="1000">
        <v>20374.48</v>
      </c>
      <c r="G92" s="1000">
        <v>0</v>
      </c>
      <c r="H92" s="1000">
        <v>5507.26</v>
      </c>
      <c r="I92" s="1000">
        <v>0</v>
      </c>
      <c r="J92" s="1000">
        <v>6432.61</v>
      </c>
      <c r="K92" s="1000">
        <v>8310.2999999999993</v>
      </c>
      <c r="L92" s="1000">
        <v>-27.7</v>
      </c>
      <c r="M92" s="1000">
        <v>95434915.700000003</v>
      </c>
    </row>
    <row r="93" spans="1:14">
      <c r="A93" s="999">
        <v>14</v>
      </c>
      <c r="B93" s="999" t="s">
        <v>1585</v>
      </c>
      <c r="C93" s="1000">
        <v>0</v>
      </c>
      <c r="D93" s="1000">
        <v>3108820.84</v>
      </c>
      <c r="E93" s="1000">
        <v>-1206534.01</v>
      </c>
      <c r="F93" s="1000">
        <v>220474</v>
      </c>
      <c r="G93" s="1000">
        <v>0</v>
      </c>
      <c r="H93" s="1000">
        <v>0</v>
      </c>
      <c r="I93" s="1000">
        <v>0</v>
      </c>
      <c r="J93" s="1000">
        <v>0</v>
      </c>
      <c r="K93" s="1000">
        <v>0</v>
      </c>
      <c r="L93" s="1000">
        <v>0</v>
      </c>
      <c r="M93" s="1000">
        <v>2122760.83</v>
      </c>
    </row>
    <row r="94" spans="1:14">
      <c r="A94" s="999">
        <v>15</v>
      </c>
      <c r="B94" s="999" t="s">
        <v>1586</v>
      </c>
      <c r="C94" s="1000">
        <v>0</v>
      </c>
      <c r="D94" s="1000">
        <v>1651073459.8099999</v>
      </c>
      <c r="E94" s="1000">
        <v>144869376.09</v>
      </c>
      <c r="F94" s="1000">
        <v>220474</v>
      </c>
      <c r="G94" s="1000">
        <v>478371734.52999997</v>
      </c>
      <c r="H94" s="1000">
        <v>1235722694.04</v>
      </c>
      <c r="I94" s="1000">
        <v>25773.06</v>
      </c>
      <c r="J94" s="1000">
        <v>15648457.43</v>
      </c>
      <c r="K94" s="1000">
        <v>8310.2999999999993</v>
      </c>
      <c r="L94" s="1000">
        <v>1546292.61</v>
      </c>
      <c r="M94" s="1000">
        <v>3842830102.8699999</v>
      </c>
    </row>
    <row r="95" spans="1:14" ht="25.5" customHeight="1">
      <c r="A95" s="1120" t="s">
        <v>1562</v>
      </c>
      <c r="B95" s="1120"/>
      <c r="C95" s="1120"/>
      <c r="D95" s="1120"/>
      <c r="E95" s="1120"/>
      <c r="F95" s="1120"/>
      <c r="G95" s="1120"/>
      <c r="H95" s="1120"/>
      <c r="I95" s="1120"/>
      <c r="J95" s="1120"/>
      <c r="K95" s="1120"/>
      <c r="L95" s="1120"/>
      <c r="M95" s="1120"/>
      <c r="N95" s="1120"/>
    </row>
  </sheetData>
  <mergeCells count="33">
    <mergeCell ref="A72:N72"/>
    <mergeCell ref="A73:N73"/>
    <mergeCell ref="A74:N74"/>
    <mergeCell ref="A77:N77"/>
    <mergeCell ref="A95:N95"/>
    <mergeCell ref="A54:N54"/>
    <mergeCell ref="A46:N46"/>
    <mergeCell ref="A47:N47"/>
    <mergeCell ref="A48:N48"/>
    <mergeCell ref="A49:N49"/>
    <mergeCell ref="A50:D50"/>
    <mergeCell ref="E50:H50"/>
    <mergeCell ref="I50:K50"/>
    <mergeCell ref="A51:B51"/>
    <mergeCell ref="C51:E51"/>
    <mergeCell ref="F51:H51"/>
    <mergeCell ref="I51:K51"/>
    <mergeCell ref="A52:N52"/>
    <mergeCell ref="A29:N29"/>
    <mergeCell ref="A1:N1"/>
    <mergeCell ref="A3:N3"/>
    <mergeCell ref="A4:D4"/>
    <mergeCell ref="E4:H4"/>
    <mergeCell ref="I4:K4"/>
    <mergeCell ref="A5:C5"/>
    <mergeCell ref="D5:E5"/>
    <mergeCell ref="F5:H5"/>
    <mergeCell ref="I5:K5"/>
    <mergeCell ref="A6:N6"/>
    <mergeCell ref="A8:N8"/>
    <mergeCell ref="A25:N25"/>
    <mergeCell ref="A26:N26"/>
    <mergeCell ref="A27:N2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zoomScale="80" zoomScaleNormal="80" workbookViewId="0">
      <selection activeCell="C13" sqref="C13"/>
    </sheetView>
  </sheetViews>
  <sheetFormatPr defaultRowHeight="12.75"/>
  <cols>
    <col min="1" max="1" width="12" style="1002" customWidth="1"/>
    <col min="2" max="2" width="23.140625" style="1002" customWidth="1"/>
    <col min="3" max="3" width="20" style="1002" customWidth="1"/>
    <col min="4" max="4" width="17.85546875" style="1002" customWidth="1"/>
    <col min="5" max="5" width="12.42578125" style="1002" bestFit="1" customWidth="1"/>
    <col min="6" max="6" width="13.7109375" style="1002" bestFit="1" customWidth="1"/>
    <col min="7" max="7" width="9" style="1002" bestFit="1" customWidth="1"/>
    <col min="8" max="10" width="13.7109375" style="1002" bestFit="1" customWidth="1"/>
    <col min="11" max="11" width="16.42578125" style="1002" bestFit="1" customWidth="1"/>
    <col min="12" max="12" width="13.7109375" style="1002" bestFit="1" customWidth="1"/>
    <col min="13" max="16384" width="9.140625" style="1002"/>
  </cols>
  <sheetData>
    <row r="1" spans="1:15" ht="13.5">
      <c r="A1" s="1129"/>
      <c r="B1" s="1129"/>
      <c r="C1" s="1129"/>
      <c r="D1" s="1129"/>
      <c r="E1" s="1129"/>
      <c r="F1"/>
      <c r="G1"/>
      <c r="H1"/>
      <c r="I1"/>
      <c r="J1"/>
      <c r="K1"/>
      <c r="L1"/>
      <c r="M1"/>
      <c r="N1"/>
      <c r="O1"/>
    </row>
    <row r="2" spans="1:15" ht="13.5" customHeight="1">
      <c r="A2" s="1130" t="s">
        <v>1046</v>
      </c>
      <c r="B2" s="1130"/>
      <c r="C2" s="1130"/>
      <c r="D2" s="1130"/>
      <c r="E2" s="1130"/>
      <c r="F2" s="1130"/>
      <c r="G2" s="1130"/>
      <c r="H2" s="1130"/>
      <c r="I2" s="1130"/>
      <c r="J2" s="1130"/>
      <c r="K2" s="1130"/>
      <c r="L2"/>
      <c r="M2"/>
      <c r="N2"/>
      <c r="O2"/>
    </row>
    <row r="3" spans="1:15">
      <c r="A3"/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3.5" customHeight="1">
      <c r="A4" s="1130" t="s">
        <v>1664</v>
      </c>
      <c r="B4" s="1130"/>
      <c r="C4" s="1130"/>
      <c r="D4" s="1130"/>
      <c r="E4" s="1130"/>
      <c r="F4" s="1130"/>
      <c r="G4" s="1130"/>
      <c r="H4" s="1130"/>
      <c r="I4" s="1130"/>
      <c r="J4" s="1130"/>
      <c r="K4" s="1130"/>
      <c r="L4"/>
      <c r="M4"/>
      <c r="N4"/>
      <c r="O4"/>
    </row>
    <row r="5" spans="1:15" ht="27" customHeight="1">
      <c r="A5" s="1127" t="s">
        <v>1665</v>
      </c>
      <c r="B5" s="1127"/>
      <c r="C5" s="1127"/>
      <c r="D5" s="1127"/>
      <c r="E5" s="1127" t="s">
        <v>1666</v>
      </c>
      <c r="F5" s="1127"/>
      <c r="G5" s="1127"/>
      <c r="H5" s="1127"/>
      <c r="I5" s="1128" t="s">
        <v>1667</v>
      </c>
      <c r="J5" s="1128"/>
      <c r="K5" s="1128"/>
      <c r="L5"/>
      <c r="M5"/>
      <c r="N5"/>
      <c r="O5"/>
    </row>
    <row r="6" spans="1:15" ht="13.5" customHeight="1">
      <c r="A6" s="1127" t="s">
        <v>1668</v>
      </c>
      <c r="B6" s="1127"/>
      <c r="C6" s="1127"/>
      <c r="D6" s="1127"/>
      <c r="E6" s="1127" t="s">
        <v>1669</v>
      </c>
      <c r="F6" s="1127"/>
      <c r="G6" s="1127"/>
      <c r="H6" s="1127"/>
      <c r="I6" s="1127"/>
      <c r="J6" s="1128" t="s">
        <v>1670</v>
      </c>
      <c r="K6" s="1128"/>
      <c r="L6" s="1128"/>
      <c r="M6"/>
      <c r="N6"/>
      <c r="O6"/>
    </row>
    <row r="7" spans="1:15">
      <c r="A7" s="1120"/>
      <c r="B7" s="1120"/>
      <c r="C7" s="1120"/>
      <c r="D7" s="1120"/>
      <c r="E7" s="1120"/>
      <c r="F7" s="1120"/>
      <c r="G7" s="1120"/>
      <c r="H7" s="1120"/>
      <c r="I7" s="1120"/>
      <c r="J7" s="1120"/>
      <c r="K7" s="1120"/>
      <c r="L7"/>
      <c r="M7"/>
      <c r="N7"/>
      <c r="O7"/>
    </row>
    <row r="8" spans="1:15" ht="27" customHeight="1">
      <c r="A8" s="1126" t="s">
        <v>1671</v>
      </c>
      <c r="B8" s="1126"/>
      <c r="C8" s="1126"/>
      <c r="D8" s="1126"/>
      <c r="E8" s="1126"/>
      <c r="F8" s="1126"/>
      <c r="G8" s="1126"/>
      <c r="H8" s="1126"/>
      <c r="I8" s="1126"/>
      <c r="J8" s="1126"/>
      <c r="K8" s="1126"/>
      <c r="L8" s="1126"/>
      <c r="M8" s="1126"/>
      <c r="N8" s="1126"/>
      <c r="O8" s="1126"/>
    </row>
    <row r="9" spans="1:15" ht="27">
      <c r="A9" s="1033" t="s">
        <v>1633</v>
      </c>
      <c r="B9" s="1033" t="s">
        <v>1118</v>
      </c>
      <c r="C9" s="1001" t="s">
        <v>1634</v>
      </c>
      <c r="D9" s="1001" t="s">
        <v>1622</v>
      </c>
      <c r="E9" s="1001" t="s">
        <v>1635</v>
      </c>
      <c r="F9" s="1001" t="s">
        <v>1636</v>
      </c>
      <c r="G9" s="1001" t="s">
        <v>1637</v>
      </c>
      <c r="H9" s="1001" t="s">
        <v>1638</v>
      </c>
      <c r="I9" s="1001" t="s">
        <v>1639</v>
      </c>
      <c r="J9" s="1001" t="s">
        <v>1640</v>
      </c>
      <c r="K9" s="1001" t="s">
        <v>1623</v>
      </c>
      <c r="L9" s="1001"/>
      <c r="M9"/>
      <c r="N9"/>
      <c r="O9"/>
    </row>
    <row r="10" spans="1:15" ht="40.5">
      <c r="A10" s="1001"/>
      <c r="B10" s="1001"/>
      <c r="C10" s="1001" t="s">
        <v>1641</v>
      </c>
      <c r="D10" s="1001" t="s">
        <v>1642</v>
      </c>
      <c r="E10" s="1001" t="s">
        <v>1643</v>
      </c>
      <c r="F10" s="1001" t="s">
        <v>1644</v>
      </c>
      <c r="G10" s="1001" t="s">
        <v>1645</v>
      </c>
      <c r="H10" s="1001" t="s">
        <v>1646</v>
      </c>
      <c r="I10" s="1001" t="s">
        <v>1647</v>
      </c>
      <c r="J10" s="1001" t="s">
        <v>1648</v>
      </c>
      <c r="K10" s="1001" t="s">
        <v>1649</v>
      </c>
      <c r="L10" s="1001"/>
      <c r="M10"/>
      <c r="N10"/>
      <c r="O10"/>
    </row>
    <row r="11" spans="1:15" ht="27" customHeight="1">
      <c r="A11" s="1126" t="s">
        <v>1671</v>
      </c>
      <c r="B11" s="1126"/>
      <c r="C11" s="1126"/>
      <c r="D11" s="1126"/>
      <c r="E11" s="1126"/>
      <c r="F11" s="1126"/>
      <c r="G11" s="1126"/>
      <c r="H11" s="1126"/>
      <c r="I11" s="1126"/>
      <c r="J11" s="1126"/>
      <c r="K11" s="1126"/>
      <c r="L11" s="1126"/>
      <c r="M11" s="1126"/>
      <c r="N11" s="1126"/>
      <c r="O11" s="1126"/>
    </row>
    <row r="12" spans="1:15" ht="13.5">
      <c r="A12" s="1033">
        <v>1</v>
      </c>
      <c r="B12" s="1034" t="s">
        <v>1624</v>
      </c>
      <c r="C12" s="1001">
        <v>6052</v>
      </c>
      <c r="D12" s="1001">
        <v>19397772330</v>
      </c>
      <c r="E12" s="1001">
        <v>0</v>
      </c>
      <c r="F12" s="1001">
        <v>20093819901.34</v>
      </c>
      <c r="G12" s="1001">
        <v>0</v>
      </c>
      <c r="H12" s="1001">
        <v>0</v>
      </c>
      <c r="I12" s="1001">
        <v>484742744.99000001</v>
      </c>
      <c r="J12" s="1001">
        <v>0</v>
      </c>
      <c r="K12" s="1001">
        <v>181720305711.34</v>
      </c>
      <c r="L12" s="1001"/>
      <c r="M12"/>
      <c r="N12"/>
      <c r="O12"/>
    </row>
    <row r="13" spans="1:15" ht="13.5">
      <c r="A13" s="1035"/>
      <c r="B13" s="1035"/>
      <c r="C13" s="1001">
        <v>165601966248.53</v>
      </c>
      <c r="D13" s="1001">
        <v>0</v>
      </c>
      <c r="E13" s="1001">
        <v>0</v>
      </c>
      <c r="F13" s="1001">
        <v>277482637.02999997</v>
      </c>
      <c r="G13" s="1001">
        <v>0</v>
      </c>
      <c r="H13" s="1001">
        <v>0</v>
      </c>
      <c r="I13" s="1001">
        <v>19025259.82</v>
      </c>
      <c r="J13" s="1001">
        <v>667379659.75</v>
      </c>
      <c r="K13" s="1001">
        <v>187144416451.45999</v>
      </c>
      <c r="L13" s="1001"/>
      <c r="M13"/>
      <c r="N13"/>
      <c r="O13"/>
    </row>
    <row r="14" spans="1:15" ht="13.5">
      <c r="A14" s="1033">
        <v>2</v>
      </c>
      <c r="B14" s="1034" t="s">
        <v>1625</v>
      </c>
      <c r="C14" s="1001">
        <v>3</v>
      </c>
      <c r="D14" s="1001">
        <v>13235614</v>
      </c>
      <c r="E14" s="1001">
        <v>0</v>
      </c>
      <c r="F14" s="1001">
        <v>2163218.2200000002</v>
      </c>
      <c r="G14" s="1001">
        <v>0</v>
      </c>
      <c r="H14" s="1001">
        <v>0</v>
      </c>
      <c r="I14" s="1001">
        <v>0</v>
      </c>
      <c r="J14" s="1001">
        <v>0</v>
      </c>
      <c r="K14" s="1001">
        <v>120342862.56</v>
      </c>
      <c r="L14" s="1001"/>
      <c r="M14"/>
      <c r="N14"/>
      <c r="O14"/>
    </row>
    <row r="15" spans="1:15" ht="13.5">
      <c r="A15" s="1035"/>
      <c r="B15" s="1035"/>
      <c r="C15" s="1001">
        <v>119490523.09999999</v>
      </c>
      <c r="D15" s="1001">
        <v>0</v>
      </c>
      <c r="E15" s="1001">
        <v>0</v>
      </c>
      <c r="F15" s="1001">
        <v>0</v>
      </c>
      <c r="G15" s="1001">
        <v>0</v>
      </c>
      <c r="H15" s="1001">
        <v>0</v>
      </c>
      <c r="I15" s="1001">
        <v>0</v>
      </c>
      <c r="J15" s="1001">
        <v>0</v>
      </c>
      <c r="K15" s="1001">
        <v>121653741.31999999</v>
      </c>
      <c r="L15" s="1001"/>
      <c r="M15"/>
      <c r="N15"/>
      <c r="O15"/>
    </row>
    <row r="16" spans="1:15" ht="13.5">
      <c r="A16" s="1033">
        <v>3</v>
      </c>
      <c r="B16" s="1034" t="s">
        <v>1626</v>
      </c>
      <c r="C16" s="1001">
        <v>18</v>
      </c>
      <c r="D16" s="1001">
        <v>25378413</v>
      </c>
      <c r="E16" s="1001">
        <v>0</v>
      </c>
      <c r="F16" s="1001">
        <v>0</v>
      </c>
      <c r="G16" s="1001">
        <v>0</v>
      </c>
      <c r="H16" s="1001">
        <v>0</v>
      </c>
      <c r="I16" s="1001">
        <v>123726.39999999999</v>
      </c>
      <c r="J16" s="1001">
        <v>0</v>
      </c>
      <c r="K16" s="1001">
        <v>25313693.420000002</v>
      </c>
      <c r="L16" s="1001"/>
      <c r="M16"/>
      <c r="N16"/>
      <c r="O16"/>
    </row>
    <row r="17" spans="1:15" ht="13.5">
      <c r="A17" s="1035"/>
      <c r="B17" s="1035"/>
      <c r="C17" s="1001">
        <v>25320200.870000001</v>
      </c>
      <c r="D17" s="1001">
        <v>0</v>
      </c>
      <c r="E17" s="1001">
        <v>0</v>
      </c>
      <c r="F17" s="1001">
        <v>0</v>
      </c>
      <c r="G17" s="1001">
        <v>0</v>
      </c>
      <c r="H17" s="1001">
        <v>0</v>
      </c>
      <c r="I17" s="1001">
        <v>0</v>
      </c>
      <c r="J17" s="1001">
        <v>0</v>
      </c>
      <c r="K17" s="1001">
        <v>25443927.27</v>
      </c>
      <c r="L17" s="1001"/>
      <c r="M17"/>
      <c r="N17"/>
      <c r="O17"/>
    </row>
    <row r="18" spans="1:15" ht="13.5">
      <c r="A18" s="1033">
        <v>4</v>
      </c>
      <c r="B18" s="1034" t="s">
        <v>1627</v>
      </c>
      <c r="C18" s="1001">
        <v>0</v>
      </c>
      <c r="D18" s="1001">
        <v>0</v>
      </c>
      <c r="E18" s="1001">
        <v>0</v>
      </c>
      <c r="F18" s="1001">
        <v>0</v>
      </c>
      <c r="G18" s="1001">
        <v>0</v>
      </c>
      <c r="H18" s="1001">
        <v>0</v>
      </c>
      <c r="I18" s="1001">
        <v>215.81</v>
      </c>
      <c r="J18" s="1001">
        <v>0</v>
      </c>
      <c r="K18" s="1001">
        <v>18352000</v>
      </c>
      <c r="L18" s="1001"/>
      <c r="M18"/>
      <c r="N18"/>
      <c r="O18"/>
    </row>
    <row r="19" spans="1:15" ht="13.5">
      <c r="A19" s="1035"/>
      <c r="B19" s="1035"/>
      <c r="C19" s="1001">
        <v>71206432.540000007</v>
      </c>
      <c r="D19" s="1001">
        <v>0</v>
      </c>
      <c r="E19" s="1001">
        <v>0</v>
      </c>
      <c r="F19" s="1001">
        <v>0</v>
      </c>
      <c r="G19" s="1001">
        <v>0</v>
      </c>
      <c r="H19" s="1001">
        <v>0</v>
      </c>
      <c r="I19" s="1001">
        <v>0</v>
      </c>
      <c r="J19" s="1001">
        <v>0</v>
      </c>
      <c r="K19" s="1001">
        <v>71206648.349999994</v>
      </c>
      <c r="L19" s="1001"/>
      <c r="M19"/>
      <c r="N19"/>
      <c r="O19"/>
    </row>
    <row r="20" spans="1:15" ht="13.5">
      <c r="A20" s="1033">
        <v>5</v>
      </c>
      <c r="B20" s="1034" t="s">
        <v>1628</v>
      </c>
      <c r="C20" s="1001">
        <v>0</v>
      </c>
      <c r="D20" s="1001">
        <v>0</v>
      </c>
      <c r="E20" s="1001">
        <v>0</v>
      </c>
      <c r="F20" s="1001">
        <v>0</v>
      </c>
      <c r="G20" s="1001">
        <v>0</v>
      </c>
      <c r="H20" s="1001">
        <v>0</v>
      </c>
      <c r="I20" s="1001">
        <v>0</v>
      </c>
      <c r="J20" s="1001">
        <v>0</v>
      </c>
      <c r="K20" s="1001">
        <v>0</v>
      </c>
      <c r="L20" s="1001"/>
      <c r="M20"/>
      <c r="N20"/>
      <c r="O20"/>
    </row>
    <row r="21" spans="1:15" ht="13.5">
      <c r="A21" s="1035"/>
      <c r="B21" s="1035"/>
      <c r="C21" s="1001">
        <v>0</v>
      </c>
      <c r="D21" s="1001">
        <v>0</v>
      </c>
      <c r="E21" s="1001">
        <v>0</v>
      </c>
      <c r="F21" s="1001">
        <v>0</v>
      </c>
      <c r="G21" s="1001">
        <v>0</v>
      </c>
      <c r="H21" s="1001">
        <v>0</v>
      </c>
      <c r="I21" s="1001">
        <v>0</v>
      </c>
      <c r="J21" s="1001">
        <v>0</v>
      </c>
      <c r="K21" s="1001">
        <v>0</v>
      </c>
      <c r="L21" s="1001"/>
      <c r="M21"/>
      <c r="N21"/>
      <c r="O21"/>
    </row>
    <row r="22" spans="1:15" ht="13.5">
      <c r="A22" s="1033">
        <v>6</v>
      </c>
      <c r="B22" s="1034" t="s">
        <v>1629</v>
      </c>
      <c r="C22" s="1001">
        <v>0</v>
      </c>
      <c r="D22" s="1001">
        <v>0</v>
      </c>
      <c r="E22" s="1001">
        <v>0</v>
      </c>
      <c r="F22" s="1001">
        <v>0</v>
      </c>
      <c r="G22" s="1001">
        <v>0</v>
      </c>
      <c r="H22" s="1001">
        <v>0</v>
      </c>
      <c r="I22" s="1001">
        <v>0</v>
      </c>
      <c r="J22" s="1001">
        <v>0</v>
      </c>
      <c r="K22" s="1001">
        <v>0</v>
      </c>
      <c r="L22" s="1001"/>
      <c r="M22"/>
      <c r="N22"/>
      <c r="O22"/>
    </row>
    <row r="23" spans="1:15" ht="13.5">
      <c r="A23" s="1035"/>
      <c r="B23" s="1035"/>
      <c r="C23" s="1001">
        <v>0</v>
      </c>
      <c r="D23" s="1001">
        <v>0</v>
      </c>
      <c r="E23" s="1001">
        <v>0</v>
      </c>
      <c r="F23" s="1001">
        <v>0</v>
      </c>
      <c r="G23" s="1001">
        <v>0</v>
      </c>
      <c r="H23" s="1001">
        <v>0</v>
      </c>
      <c r="I23" s="1001">
        <v>0</v>
      </c>
      <c r="J23" s="1001">
        <v>0</v>
      </c>
      <c r="K23" s="1001">
        <v>0</v>
      </c>
      <c r="L23" s="1001"/>
      <c r="M23"/>
      <c r="N23"/>
      <c r="O23"/>
    </row>
    <row r="24" spans="1:15" ht="13.5">
      <c r="A24" s="1033">
        <v>7</v>
      </c>
      <c r="B24" s="1034" t="s">
        <v>1630</v>
      </c>
      <c r="C24" s="1001">
        <v>0</v>
      </c>
      <c r="D24" s="1001">
        <v>0</v>
      </c>
      <c r="E24" s="1001">
        <v>0</v>
      </c>
      <c r="F24" s="1001">
        <v>0</v>
      </c>
      <c r="G24" s="1001">
        <v>0</v>
      </c>
      <c r="H24" s="1001">
        <v>0</v>
      </c>
      <c r="I24" s="1001">
        <v>0</v>
      </c>
      <c r="J24" s="1001">
        <v>0</v>
      </c>
      <c r="K24" s="1001">
        <v>0</v>
      </c>
      <c r="L24" s="1001"/>
      <c r="M24"/>
      <c r="N24"/>
      <c r="O24"/>
    </row>
    <row r="25" spans="1:15" ht="13.5">
      <c r="A25" s="1035"/>
      <c r="B25" s="1035"/>
      <c r="C25" s="1001">
        <v>0</v>
      </c>
      <c r="D25" s="1001">
        <v>0</v>
      </c>
      <c r="E25" s="1001">
        <v>0</v>
      </c>
      <c r="F25" s="1001">
        <v>0</v>
      </c>
      <c r="G25" s="1001">
        <v>0</v>
      </c>
      <c r="H25" s="1001">
        <v>0</v>
      </c>
      <c r="I25" s="1001">
        <v>0</v>
      </c>
      <c r="J25" s="1001">
        <v>0</v>
      </c>
      <c r="K25" s="1001">
        <v>0</v>
      </c>
      <c r="L25" s="1001"/>
      <c r="M25"/>
      <c r="N25"/>
      <c r="O25"/>
    </row>
    <row r="26" spans="1:15" ht="13.5">
      <c r="A26" s="1033">
        <v>8</v>
      </c>
      <c r="B26" s="1034" t="s">
        <v>1129</v>
      </c>
      <c r="C26" s="1001">
        <v>1749</v>
      </c>
      <c r="D26" s="1001">
        <v>0</v>
      </c>
      <c r="E26" s="1001">
        <v>0</v>
      </c>
      <c r="F26" s="1001">
        <v>0</v>
      </c>
      <c r="G26" s="1001">
        <v>0</v>
      </c>
      <c r="H26" s="1001">
        <v>0</v>
      </c>
      <c r="I26" s="1001">
        <v>2536856683.4000001</v>
      </c>
      <c r="J26" s="1001">
        <v>0</v>
      </c>
      <c r="K26" s="1001">
        <v>0</v>
      </c>
      <c r="L26" s="1001"/>
      <c r="M26"/>
      <c r="N26"/>
      <c r="O26"/>
    </row>
    <row r="27" spans="1:15" ht="13.5">
      <c r="A27" s="1035"/>
      <c r="B27" s="1035"/>
      <c r="C27" s="1001">
        <v>5195725719.0100002</v>
      </c>
      <c r="D27" s="1001">
        <v>0</v>
      </c>
      <c r="E27" s="1001">
        <v>0</v>
      </c>
      <c r="F27" s="1001">
        <v>1178760.0900000001</v>
      </c>
      <c r="G27" s="1001">
        <v>0</v>
      </c>
      <c r="H27" s="1001">
        <v>0</v>
      </c>
      <c r="I27" s="1001">
        <v>1530865.58</v>
      </c>
      <c r="J27" s="1001">
        <v>156077.6</v>
      </c>
      <c r="K27" s="1001">
        <v>7735448105.6800003</v>
      </c>
      <c r="L27" s="1001"/>
      <c r="M27"/>
      <c r="N27"/>
      <c r="O27"/>
    </row>
    <row r="28" spans="1:15" ht="13.5">
      <c r="A28" s="1033">
        <v>9</v>
      </c>
      <c r="B28" s="1034" t="s">
        <v>1581</v>
      </c>
      <c r="C28" s="1001">
        <v>56</v>
      </c>
      <c r="D28" s="1001">
        <v>11108</v>
      </c>
      <c r="E28" s="1001">
        <v>0</v>
      </c>
      <c r="F28" s="1001">
        <v>8961.92</v>
      </c>
      <c r="G28" s="1001">
        <v>0</v>
      </c>
      <c r="H28" s="1001">
        <v>0</v>
      </c>
      <c r="I28" s="1001">
        <v>3639447.78</v>
      </c>
      <c r="J28" s="1001">
        <v>0</v>
      </c>
      <c r="K28" s="1001">
        <v>111672393.75</v>
      </c>
      <c r="L28" s="1001"/>
      <c r="M28"/>
      <c r="N28"/>
      <c r="O28"/>
    </row>
    <row r="29" spans="1:15" ht="13.5">
      <c r="A29" s="1035"/>
      <c r="B29" s="1035"/>
      <c r="C29" s="1001">
        <v>135876086.34999999</v>
      </c>
      <c r="D29" s="1001">
        <v>0</v>
      </c>
      <c r="E29" s="1001">
        <v>0</v>
      </c>
      <c r="F29" s="1001">
        <v>594350.16</v>
      </c>
      <c r="G29" s="1001">
        <v>0</v>
      </c>
      <c r="H29" s="1001">
        <v>0</v>
      </c>
      <c r="I29" s="1001">
        <v>145349</v>
      </c>
      <c r="J29" s="1001">
        <v>0</v>
      </c>
      <c r="K29" s="1001">
        <v>140264195.21000001</v>
      </c>
      <c r="L29" s="1001"/>
      <c r="M29"/>
      <c r="N29"/>
      <c r="O29"/>
    </row>
    <row r="30" spans="1:15" ht="13.5">
      <c r="A30" s="1033">
        <v>10</v>
      </c>
      <c r="B30" s="1034" t="s">
        <v>1631</v>
      </c>
      <c r="C30" s="1001">
        <v>69</v>
      </c>
      <c r="D30" s="1001">
        <v>56812906</v>
      </c>
      <c r="E30" s="1001">
        <v>0</v>
      </c>
      <c r="F30" s="1001">
        <v>944885.27</v>
      </c>
      <c r="G30" s="1001">
        <v>0</v>
      </c>
      <c r="H30" s="1001">
        <v>0</v>
      </c>
      <c r="I30" s="1001">
        <v>27311788.050000001</v>
      </c>
      <c r="J30" s="1001">
        <v>0</v>
      </c>
      <c r="K30" s="1001">
        <v>479498171.45999998</v>
      </c>
      <c r="L30" s="1001"/>
      <c r="M30"/>
      <c r="N30"/>
      <c r="O30"/>
    </row>
    <row r="31" spans="1:15" ht="13.5">
      <c r="A31" s="1035"/>
      <c r="B31" s="1035"/>
      <c r="C31" s="1001">
        <v>483981616.52999997</v>
      </c>
      <c r="D31" s="1001">
        <v>0</v>
      </c>
      <c r="E31" s="1001">
        <v>0</v>
      </c>
      <c r="F31" s="1001">
        <v>1702.42</v>
      </c>
      <c r="G31" s="1001">
        <v>0</v>
      </c>
      <c r="H31" s="1001">
        <v>0</v>
      </c>
      <c r="I31" s="1001">
        <v>29699.74</v>
      </c>
      <c r="J31" s="1001">
        <v>339210</v>
      </c>
      <c r="K31" s="1001">
        <v>512608902.00999999</v>
      </c>
      <c r="L31" s="1001"/>
      <c r="M31"/>
      <c r="N31"/>
      <c r="O31"/>
    </row>
    <row r="32" spans="1:15" ht="27" customHeight="1">
      <c r="A32" s="1126" t="s">
        <v>1671</v>
      </c>
      <c r="B32" s="1126"/>
      <c r="C32" s="1126"/>
      <c r="D32" s="1126"/>
      <c r="E32" s="1126"/>
      <c r="F32" s="1126"/>
      <c r="G32" s="1126"/>
      <c r="H32" s="1126"/>
      <c r="I32" s="1126"/>
      <c r="J32" s="1126"/>
      <c r="K32" s="1126"/>
      <c r="L32" s="1126"/>
      <c r="M32" s="1126"/>
      <c r="N32"/>
      <c r="O32"/>
    </row>
    <row r="33" spans="1:15" ht="13.5" customHeight="1">
      <c r="A33" s="1131" t="s">
        <v>1632</v>
      </c>
      <c r="B33" s="1131"/>
      <c r="C33" s="1001">
        <v>7947</v>
      </c>
      <c r="D33" s="1001">
        <v>19493210371</v>
      </c>
      <c r="E33" s="1001">
        <v>0</v>
      </c>
      <c r="F33" s="1001">
        <v>20096936966.75</v>
      </c>
      <c r="G33" s="1001">
        <v>0</v>
      </c>
      <c r="H33" s="1001">
        <v>0</v>
      </c>
      <c r="I33" s="1001">
        <v>3052674606.4299998</v>
      </c>
      <c r="J33" s="1001">
        <v>0</v>
      </c>
      <c r="K33" s="1001">
        <v>182475484832.53</v>
      </c>
      <c r="L33" s="1001"/>
      <c r="M33"/>
      <c r="N33"/>
      <c r="O33"/>
    </row>
    <row r="34" spans="1:15" ht="13.5">
      <c r="A34" s="1001"/>
      <c r="B34" s="1001"/>
      <c r="C34" s="1001">
        <v>171633566826.92999</v>
      </c>
      <c r="D34" s="1001">
        <v>0</v>
      </c>
      <c r="E34" s="1001">
        <v>0</v>
      </c>
      <c r="F34" s="1001">
        <v>279257449.69999999</v>
      </c>
      <c r="G34" s="1001">
        <v>0</v>
      </c>
      <c r="H34" s="1001">
        <v>0</v>
      </c>
      <c r="I34" s="1001">
        <v>20731174.140000001</v>
      </c>
      <c r="J34" s="1001">
        <v>667874947.35000002</v>
      </c>
      <c r="K34" s="1001">
        <v>195751041971.29999</v>
      </c>
      <c r="L34" s="1001"/>
      <c r="M34"/>
      <c r="N34"/>
      <c r="O34"/>
    </row>
    <row r="35" spans="1:15" ht="27" customHeight="1">
      <c r="A35" s="1126" t="s">
        <v>1671</v>
      </c>
      <c r="B35" s="1126"/>
      <c r="C35" s="1126"/>
      <c r="D35" s="1126"/>
      <c r="E35" s="1126"/>
      <c r="F35" s="1126"/>
      <c r="G35" s="1126"/>
      <c r="H35" s="1126"/>
      <c r="I35" s="1126"/>
      <c r="J35" s="1126"/>
      <c r="K35" s="1126"/>
      <c r="L35" s="1126"/>
      <c r="M35" s="1126"/>
      <c r="N35"/>
      <c r="O35"/>
    </row>
    <row r="36" spans="1: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27" customHeight="1">
      <c r="A37" s="1130" t="s">
        <v>1650</v>
      </c>
      <c r="B37" s="1130"/>
      <c r="C37" s="1130"/>
      <c r="D37" s="1130"/>
      <c r="E37" s="1130"/>
      <c r="F37"/>
      <c r="G37"/>
      <c r="H37"/>
      <c r="I37"/>
      <c r="J37"/>
      <c r="K37"/>
      <c r="L37"/>
      <c r="M37"/>
      <c r="N37"/>
      <c r="O37"/>
    </row>
    <row r="38" spans="1:15" ht="13.5">
      <c r="A38" s="1001"/>
      <c r="B38" s="1001"/>
      <c r="C38" s="1001"/>
      <c r="D38" s="1001"/>
      <c r="E38" s="1001"/>
      <c r="F38"/>
      <c r="G38"/>
      <c r="H38"/>
      <c r="I38"/>
      <c r="J38"/>
      <c r="K38"/>
      <c r="L38"/>
      <c r="M38"/>
      <c r="N38"/>
      <c r="O38"/>
    </row>
    <row r="39" spans="1:15" ht="27" customHeight="1">
      <c r="A39" s="1126" t="s">
        <v>1671</v>
      </c>
      <c r="B39" s="1126"/>
      <c r="C39" s="1126"/>
      <c r="D39" s="1126"/>
      <c r="E39" s="1126"/>
      <c r="F39" s="1126"/>
      <c r="G39" s="1126"/>
      <c r="H39" s="1126"/>
      <c r="I39" s="1126"/>
      <c r="J39" s="1126"/>
      <c r="K39" s="1126"/>
      <c r="L39" s="1126"/>
      <c r="M39" s="1126"/>
      <c r="N39"/>
      <c r="O39"/>
    </row>
    <row r="40" spans="1:15" ht="27">
      <c r="A40" s="1129" t="s">
        <v>1633</v>
      </c>
      <c r="B40" s="1131" t="s">
        <v>1118</v>
      </c>
      <c r="C40" s="1001" t="s">
        <v>1672</v>
      </c>
      <c r="D40" s="1001" t="s">
        <v>1674</v>
      </c>
      <c r="E40" s="1001" t="s">
        <v>1676</v>
      </c>
      <c r="F40" s="1001" t="s">
        <v>1677</v>
      </c>
      <c r="G40" s="1001" t="s">
        <v>1679</v>
      </c>
      <c r="H40" s="1001" t="s">
        <v>1681</v>
      </c>
      <c r="I40" s="1001" t="s">
        <v>64</v>
      </c>
      <c r="J40" s="1001" t="s">
        <v>1681</v>
      </c>
      <c r="K40" s="1001" t="s">
        <v>1684</v>
      </c>
      <c r="L40" s="1001" t="s">
        <v>1685</v>
      </c>
      <c r="M40" s="1001" t="s">
        <v>1687</v>
      </c>
      <c r="N40"/>
      <c r="O40"/>
    </row>
    <row r="41" spans="1:15" ht="27" customHeight="1">
      <c r="A41" s="1129"/>
      <c r="B41" s="1131"/>
      <c r="C41" s="1001" t="s">
        <v>1673</v>
      </c>
      <c r="D41" s="1001" t="s">
        <v>1675</v>
      </c>
      <c r="E41" s="1001" t="s">
        <v>1675</v>
      </c>
      <c r="F41" s="1001" t="s">
        <v>1678</v>
      </c>
      <c r="G41" s="1001" t="s">
        <v>1680</v>
      </c>
      <c r="H41" s="1001" t="s">
        <v>1673</v>
      </c>
      <c r="I41" s="1001" t="s">
        <v>1682</v>
      </c>
      <c r="J41" s="1001" t="s">
        <v>1683</v>
      </c>
      <c r="K41" s="1001" t="s">
        <v>1683</v>
      </c>
      <c r="L41" s="1001" t="s">
        <v>1686</v>
      </c>
      <c r="M41" s="1001" t="s">
        <v>1673</v>
      </c>
      <c r="N41"/>
      <c r="O41"/>
    </row>
    <row r="42" spans="1:15" ht="27" customHeight="1">
      <c r="A42" s="1126" t="s">
        <v>1671</v>
      </c>
      <c r="B42" s="1126"/>
      <c r="C42" s="1126"/>
      <c r="D42" s="1126"/>
      <c r="E42" s="1126"/>
      <c r="F42" s="1126"/>
      <c r="G42" s="1126"/>
      <c r="H42" s="1126"/>
      <c r="I42" s="1126"/>
      <c r="J42" s="1126"/>
      <c r="K42" s="1126"/>
      <c r="L42" s="1126"/>
      <c r="M42" s="1126"/>
      <c r="N42"/>
      <c r="O42"/>
    </row>
    <row r="43" spans="1:15" ht="27" customHeight="1">
      <c r="A43" s="1033">
        <v>1</v>
      </c>
      <c r="B43" s="1034" t="s">
        <v>1624</v>
      </c>
      <c r="C43" s="1001">
        <v>16557923945.209999</v>
      </c>
      <c r="D43" s="1001">
        <v>81880377071.940002</v>
      </c>
      <c r="E43" s="1001">
        <v>5018979321.5</v>
      </c>
      <c r="F43" s="1001">
        <v>62593612396.849998</v>
      </c>
      <c r="G43" s="1001">
        <v>0</v>
      </c>
      <c r="H43" s="1001">
        <v>141047260.59999999</v>
      </c>
      <c r="I43" s="1001">
        <v>3904060251.5300002</v>
      </c>
      <c r="J43" s="1001">
        <v>-1574120736.4400001</v>
      </c>
      <c r="K43" s="1001">
        <v>-313378759.91000003</v>
      </c>
      <c r="L43" s="1001">
        <v>-2677977867.1500001</v>
      </c>
      <c r="M43" s="1001">
        <v>71420187</v>
      </c>
      <c r="N43"/>
      <c r="O43"/>
    </row>
    <row r="44" spans="1:15" ht="13.5">
      <c r="A44" s="1033">
        <v>2</v>
      </c>
      <c r="B44" s="1034" t="s">
        <v>1625</v>
      </c>
      <c r="C44" s="1001">
        <v>11014370</v>
      </c>
      <c r="D44" s="1001">
        <v>64799822</v>
      </c>
      <c r="E44" s="1001">
        <v>478974.15</v>
      </c>
      <c r="F44" s="1001">
        <v>43189584.270000003</v>
      </c>
      <c r="G44" s="1001">
        <v>0</v>
      </c>
      <c r="H44" s="1001">
        <v>1125920</v>
      </c>
      <c r="I44" s="1001">
        <v>1310878.76</v>
      </c>
      <c r="J44" s="1001">
        <v>-1481648.36</v>
      </c>
      <c r="K44" s="1001">
        <v>-696809.41</v>
      </c>
      <c r="L44" s="1001">
        <v>-250568.31</v>
      </c>
      <c r="M44" s="1001">
        <v>0</v>
      </c>
      <c r="N44"/>
      <c r="O44"/>
    </row>
    <row r="45" spans="1:15" ht="13.5">
      <c r="A45" s="1033">
        <v>3</v>
      </c>
      <c r="B45" s="1034" t="s">
        <v>1626</v>
      </c>
      <c r="C45" s="1001">
        <v>5182500</v>
      </c>
      <c r="D45" s="1001">
        <v>20302730.399999999</v>
      </c>
      <c r="E45" s="1001">
        <v>0</v>
      </c>
      <c r="F45" s="1001">
        <v>0</v>
      </c>
      <c r="G45" s="1001">
        <v>0</v>
      </c>
      <c r="H45" s="1001">
        <v>370786.21</v>
      </c>
      <c r="I45" s="1001">
        <v>6507.45</v>
      </c>
      <c r="J45" s="1001">
        <v>-416223.02</v>
      </c>
      <c r="K45" s="1001">
        <v>-126100.17</v>
      </c>
      <c r="L45" s="1001">
        <v>0</v>
      </c>
      <c r="M45" s="1001">
        <v>0</v>
      </c>
      <c r="N45"/>
      <c r="O45"/>
    </row>
    <row r="46" spans="1:15" ht="13.5">
      <c r="A46" s="1033">
        <v>4</v>
      </c>
      <c r="B46" s="1034" t="s">
        <v>1627</v>
      </c>
      <c r="C46" s="1001">
        <v>18352000</v>
      </c>
      <c r="D46" s="1001">
        <v>0</v>
      </c>
      <c r="E46" s="1001">
        <v>0</v>
      </c>
      <c r="F46" s="1001">
        <v>0</v>
      </c>
      <c r="G46" s="1001">
        <v>0</v>
      </c>
      <c r="H46" s="1001">
        <v>0</v>
      </c>
      <c r="I46" s="1001">
        <v>52854432.539999999</v>
      </c>
      <c r="J46" s="1001">
        <v>0</v>
      </c>
      <c r="K46" s="1001">
        <v>0</v>
      </c>
      <c r="L46" s="1001">
        <v>0</v>
      </c>
      <c r="M46" s="1001">
        <v>0</v>
      </c>
      <c r="N46"/>
      <c r="O46"/>
    </row>
    <row r="47" spans="1:15" ht="13.5">
      <c r="A47" s="1033">
        <v>5</v>
      </c>
      <c r="B47" s="1034" t="s">
        <v>1628</v>
      </c>
      <c r="C47" s="1001">
        <v>0</v>
      </c>
      <c r="D47" s="1001">
        <v>0</v>
      </c>
      <c r="E47" s="1001">
        <v>0</v>
      </c>
      <c r="F47" s="1001">
        <v>0</v>
      </c>
      <c r="G47" s="1001">
        <v>0</v>
      </c>
      <c r="H47" s="1001">
        <v>0</v>
      </c>
      <c r="I47" s="1001">
        <v>0</v>
      </c>
      <c r="J47" s="1001">
        <v>0</v>
      </c>
      <c r="K47" s="1001">
        <v>0</v>
      </c>
      <c r="L47" s="1001">
        <v>0</v>
      </c>
      <c r="M47" s="1001">
        <v>0</v>
      </c>
      <c r="N47"/>
      <c r="O47"/>
    </row>
    <row r="48" spans="1:15" ht="13.5">
      <c r="A48" s="1033">
        <v>6</v>
      </c>
      <c r="B48" s="1034" t="s">
        <v>1629</v>
      </c>
      <c r="C48" s="1001">
        <v>0</v>
      </c>
      <c r="D48" s="1001">
        <v>0</v>
      </c>
      <c r="E48" s="1001">
        <v>0</v>
      </c>
      <c r="F48" s="1001">
        <v>0</v>
      </c>
      <c r="G48" s="1001">
        <v>0</v>
      </c>
      <c r="H48" s="1001">
        <v>0</v>
      </c>
      <c r="I48" s="1001">
        <v>0</v>
      </c>
      <c r="J48" s="1001">
        <v>0</v>
      </c>
      <c r="K48" s="1001">
        <v>0</v>
      </c>
      <c r="L48" s="1001">
        <v>0</v>
      </c>
      <c r="M48" s="1001">
        <v>0</v>
      </c>
      <c r="N48"/>
      <c r="O48"/>
    </row>
    <row r="49" spans="1:15" ht="13.5">
      <c r="A49" s="1033">
        <v>7</v>
      </c>
      <c r="B49" s="1034" t="s">
        <v>1630</v>
      </c>
      <c r="C49" s="1001">
        <v>0</v>
      </c>
      <c r="D49" s="1001">
        <v>0</v>
      </c>
      <c r="E49" s="1001">
        <v>0</v>
      </c>
      <c r="F49" s="1001">
        <v>0</v>
      </c>
      <c r="G49" s="1001">
        <v>0</v>
      </c>
      <c r="H49" s="1001">
        <v>0</v>
      </c>
      <c r="I49" s="1001">
        <v>0</v>
      </c>
      <c r="J49" s="1001">
        <v>0</v>
      </c>
      <c r="K49" s="1001">
        <v>0</v>
      </c>
      <c r="L49" s="1001">
        <v>0</v>
      </c>
      <c r="M49" s="1001">
        <v>0</v>
      </c>
      <c r="N49"/>
      <c r="O49"/>
    </row>
    <row r="50" spans="1:15" ht="13.5">
      <c r="A50" s="1033">
        <v>8</v>
      </c>
      <c r="B50" s="1034" t="s">
        <v>1129</v>
      </c>
      <c r="C50" s="1001">
        <v>0</v>
      </c>
      <c r="D50" s="1001">
        <v>0</v>
      </c>
      <c r="E50" s="1001">
        <v>0</v>
      </c>
      <c r="F50" s="1001">
        <v>0</v>
      </c>
      <c r="G50" s="1001">
        <v>0</v>
      </c>
      <c r="H50" s="1001">
        <v>0</v>
      </c>
      <c r="I50" s="1001">
        <v>5195725719.0100002</v>
      </c>
      <c r="J50" s="1001">
        <v>0</v>
      </c>
      <c r="K50" s="1001">
        <v>0</v>
      </c>
      <c r="L50" s="1001">
        <v>0</v>
      </c>
      <c r="M50" s="1001">
        <v>0</v>
      </c>
      <c r="N50"/>
      <c r="O50"/>
    </row>
    <row r="51" spans="1:15" ht="13.5">
      <c r="A51" s="1033">
        <v>9</v>
      </c>
      <c r="B51" s="1034" t="s">
        <v>1581</v>
      </c>
      <c r="C51" s="1001">
        <v>111617795.37</v>
      </c>
      <c r="D51" s="1001">
        <v>44432</v>
      </c>
      <c r="E51" s="1001">
        <v>1906.2</v>
      </c>
      <c r="F51" s="1001">
        <v>0</v>
      </c>
      <c r="G51" s="1001">
        <v>0</v>
      </c>
      <c r="H51" s="1001">
        <v>0</v>
      </c>
      <c r="I51" s="1001">
        <v>24212654.52</v>
      </c>
      <c r="J51" s="1001">
        <v>-533.17999999999995</v>
      </c>
      <c r="K51" s="1001">
        <v>0</v>
      </c>
      <c r="L51" s="1001">
        <v>-168.56</v>
      </c>
      <c r="M51" s="1001">
        <v>0</v>
      </c>
      <c r="N51"/>
      <c r="O51"/>
    </row>
    <row r="52" spans="1:15" ht="13.5">
      <c r="A52" s="1033">
        <v>10</v>
      </c>
      <c r="B52" s="1034" t="s">
        <v>1631</v>
      </c>
      <c r="C52" s="1001">
        <v>38105699.640000001</v>
      </c>
      <c r="D52" s="1001">
        <v>251014545.09999999</v>
      </c>
      <c r="E52" s="1001">
        <v>12112320.85</v>
      </c>
      <c r="F52" s="1001">
        <v>181398233.12</v>
      </c>
      <c r="G52" s="1001">
        <v>0</v>
      </c>
      <c r="H52" s="1001">
        <v>4360171.28</v>
      </c>
      <c r="I52" s="1001">
        <v>5428330.3399999999</v>
      </c>
      <c r="J52" s="1001">
        <v>-1510988.81</v>
      </c>
      <c r="K52" s="1001">
        <v>0</v>
      </c>
      <c r="L52" s="1001">
        <v>-6926694.9900000002</v>
      </c>
      <c r="M52" s="1001">
        <v>0</v>
      </c>
      <c r="N52"/>
      <c r="O52"/>
    </row>
    <row r="53" spans="1:15" ht="27" customHeight="1">
      <c r="A53" s="1126" t="s">
        <v>1671</v>
      </c>
      <c r="B53" s="1126"/>
      <c r="C53" s="1126"/>
      <c r="D53" s="1126"/>
      <c r="E53" s="1126"/>
      <c r="F53" s="1126"/>
      <c r="G53" s="1126"/>
      <c r="H53" s="1126"/>
      <c r="I53" s="1126"/>
      <c r="J53" s="1126"/>
      <c r="K53" s="1126"/>
      <c r="L53" s="1126"/>
      <c r="M53" s="1126"/>
      <c r="N53" s="1126"/>
      <c r="O53" s="1126"/>
    </row>
    <row r="54" spans="1:15" ht="27" customHeight="1">
      <c r="A54" s="1131" t="s">
        <v>1632</v>
      </c>
      <c r="B54" s="1131"/>
      <c r="C54" s="1001">
        <v>16742196310.219999</v>
      </c>
      <c r="D54" s="1001">
        <v>82216538601.440002</v>
      </c>
      <c r="E54" s="1001">
        <v>5031572522.6999998</v>
      </c>
      <c r="F54" s="1001">
        <v>62818200214.239998</v>
      </c>
      <c r="G54" s="1001">
        <v>0</v>
      </c>
      <c r="H54" s="1001">
        <v>146904138.09</v>
      </c>
      <c r="I54" s="1001">
        <v>9183598774.1499996</v>
      </c>
      <c r="J54" s="1001">
        <v>-1577530129.8099999</v>
      </c>
      <c r="K54" s="1001">
        <v>-314201669.49000001</v>
      </c>
      <c r="L54" s="1001">
        <v>-2685155299.0100002</v>
      </c>
      <c r="M54" s="1001">
        <v>71420187</v>
      </c>
      <c r="N54"/>
      <c r="O54"/>
    </row>
    <row r="55" spans="1:15" ht="27" customHeight="1">
      <c r="A55" s="1126" t="s">
        <v>1671</v>
      </c>
      <c r="B55" s="1126"/>
      <c r="C55" s="1126"/>
      <c r="D55" s="1126"/>
      <c r="E55" s="1126"/>
      <c r="F55" s="1126"/>
      <c r="G55" s="1126"/>
      <c r="H55" s="1126"/>
      <c r="I55" s="1126"/>
      <c r="J55" s="1126"/>
      <c r="K55" s="1126"/>
      <c r="L55" s="1126"/>
      <c r="M55" s="1126"/>
      <c r="N55" s="1126"/>
      <c r="O55" s="1126"/>
    </row>
    <row r="56" spans="1:15" ht="13.5" customHeight="1">
      <c r="A56" s="1005"/>
      <c r="B56" s="1006" t="s">
        <v>1658</v>
      </c>
      <c r="C56" s="1005">
        <v>12487283590.74</v>
      </c>
      <c r="D56" s="1005">
        <v>60839374401.989998</v>
      </c>
      <c r="E56" s="1005">
        <v>3724400052</v>
      </c>
      <c r="F56" s="1005">
        <v>46710830663.610001</v>
      </c>
      <c r="G56" s="1005">
        <v>0</v>
      </c>
      <c r="H56" s="1005">
        <v>113420209.31</v>
      </c>
      <c r="I56" s="1005">
        <v>6672991409.3400002</v>
      </c>
      <c r="J56" s="1005">
        <v>1151347354.25</v>
      </c>
      <c r="K56" s="1005">
        <v>231055814.47</v>
      </c>
      <c r="L56" s="1001"/>
      <c r="M56"/>
    </row>
    <row r="57" spans="1:15" ht="27" customHeight="1">
      <c r="A57" s="1126" t="s">
        <v>1621</v>
      </c>
      <c r="B57" s="1126"/>
      <c r="C57" s="1126"/>
      <c r="D57" s="1126"/>
      <c r="E57" s="1126"/>
      <c r="F57" s="1126"/>
      <c r="G57" s="1126"/>
      <c r="H57" s="1126"/>
      <c r="I57" s="1126"/>
      <c r="J57" s="1126"/>
      <c r="K57" s="1126"/>
      <c r="L57" s="1126"/>
      <c r="M57"/>
    </row>
  </sheetData>
  <mergeCells count="24">
    <mergeCell ref="A57:L57"/>
    <mergeCell ref="A32:M32"/>
    <mergeCell ref="A33:B33"/>
    <mergeCell ref="A35:M35"/>
    <mergeCell ref="A37:E37"/>
    <mergeCell ref="A39:M39"/>
    <mergeCell ref="A40:A41"/>
    <mergeCell ref="B40:B41"/>
    <mergeCell ref="A42:M42"/>
    <mergeCell ref="A53:O53"/>
    <mergeCell ref="A54:B54"/>
    <mergeCell ref="A55:O55"/>
    <mergeCell ref="I5:K5"/>
    <mergeCell ref="A1:E1"/>
    <mergeCell ref="A2:K2"/>
    <mergeCell ref="A4:K4"/>
    <mergeCell ref="A5:D5"/>
    <mergeCell ref="E5:H5"/>
    <mergeCell ref="A8:O8"/>
    <mergeCell ref="A11:O11"/>
    <mergeCell ref="A6:D6"/>
    <mergeCell ref="E6:I6"/>
    <mergeCell ref="J6:L6"/>
    <mergeCell ref="A7:K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K38"/>
  <sheetViews>
    <sheetView workbookViewId="0">
      <selection activeCell="AD4" sqref="AD4"/>
    </sheetView>
  </sheetViews>
  <sheetFormatPr defaultRowHeight="15"/>
  <cols>
    <col min="1" max="1" width="50.5703125" style="240" customWidth="1"/>
    <col min="2" max="2" width="10.7109375" style="240" hidden="1" customWidth="1"/>
    <col min="3" max="3" width="12.85546875" style="240" hidden="1" customWidth="1"/>
    <col min="4" max="7" width="10.7109375" style="240" hidden="1" customWidth="1"/>
    <col min="8" max="9" width="10.7109375" style="240" customWidth="1"/>
    <col min="10" max="15" width="10.7109375" style="240" hidden="1" customWidth="1"/>
    <col min="16" max="19" width="10.7109375" style="240" customWidth="1"/>
    <col min="20" max="26" width="10.7109375" style="240" hidden="1" customWidth="1"/>
    <col min="27" max="27" width="21.42578125" style="240" hidden="1" customWidth="1"/>
    <col min="28" max="29" width="10.7109375" style="240" hidden="1" customWidth="1"/>
    <col min="30" max="30" width="10.7109375" style="240" customWidth="1"/>
    <col min="31" max="31" width="12.7109375" style="240" customWidth="1"/>
    <col min="32" max="33" width="9.140625" style="240"/>
    <col min="34" max="34" width="9.5703125" style="240" bestFit="1" customWidth="1"/>
    <col min="35" max="16384" width="9.140625" style="240"/>
  </cols>
  <sheetData>
    <row r="1" spans="1:37" ht="15.75" customHeight="1">
      <c r="A1" s="1134" t="s">
        <v>1115</v>
      </c>
      <c r="B1" s="1135"/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  <c r="N1" s="1135"/>
      <c r="O1" s="1135"/>
      <c r="P1" s="1135"/>
      <c r="Q1" s="1135"/>
      <c r="R1" s="1135"/>
      <c r="S1" s="1135"/>
      <c r="T1" s="1135"/>
      <c r="U1" s="1135"/>
      <c r="V1" s="1135"/>
      <c r="W1" s="1135"/>
      <c r="X1" s="1135"/>
      <c r="Y1" s="1135"/>
      <c r="Z1" s="1135"/>
      <c r="AA1" s="1135"/>
      <c r="AB1" s="1135"/>
      <c r="AC1" s="1135"/>
      <c r="AD1" s="1135"/>
      <c r="AE1" s="1135"/>
      <c r="AF1" s="1135"/>
    </row>
    <row r="2" spans="1:37" ht="15.75" customHeight="1">
      <c r="A2" s="241"/>
      <c r="B2" s="1132">
        <v>44682</v>
      </c>
      <c r="C2" s="1133"/>
      <c r="D2" s="1132">
        <v>44713</v>
      </c>
      <c r="E2" s="1133"/>
      <c r="F2" s="1132">
        <v>44743</v>
      </c>
      <c r="G2" s="1133"/>
      <c r="H2" s="1136" t="s">
        <v>1116</v>
      </c>
      <c r="I2" s="1137"/>
      <c r="J2" s="1132">
        <v>44774</v>
      </c>
      <c r="K2" s="1133"/>
      <c r="L2" s="1132">
        <v>44805</v>
      </c>
      <c r="M2" s="1133"/>
      <c r="N2" s="1132">
        <v>44835</v>
      </c>
      <c r="O2" s="1133"/>
      <c r="P2" s="1136" t="s">
        <v>1117</v>
      </c>
      <c r="Q2" s="1137"/>
      <c r="R2" s="1132" t="s">
        <v>1351</v>
      </c>
      <c r="S2" s="1133"/>
      <c r="T2" s="1132">
        <v>44896</v>
      </c>
      <c r="U2" s="1133"/>
      <c r="V2" s="1132">
        <v>44927</v>
      </c>
      <c r="W2" s="1133"/>
      <c r="X2" s="1132">
        <v>44958</v>
      </c>
      <c r="Y2" s="1133"/>
      <c r="Z2" s="1132">
        <v>44986</v>
      </c>
      <c r="AA2" s="1133"/>
      <c r="AB2" s="1132">
        <v>45017</v>
      </c>
      <c r="AC2" s="1133"/>
      <c r="AD2" s="1132" t="s">
        <v>1107</v>
      </c>
      <c r="AE2" s="1132"/>
      <c r="AF2" s="1132"/>
      <c r="AG2" s="1132"/>
    </row>
    <row r="3" spans="1:37" ht="45.75" customHeight="1">
      <c r="A3" s="241" t="s">
        <v>1118</v>
      </c>
      <c r="B3" s="241" t="s">
        <v>1055</v>
      </c>
      <c r="C3" s="242" t="s">
        <v>1119</v>
      </c>
      <c r="D3" s="241" t="s">
        <v>1055</v>
      </c>
      <c r="E3" s="242" t="s">
        <v>1119</v>
      </c>
      <c r="F3" s="241" t="s">
        <v>1055</v>
      </c>
      <c r="G3" s="242" t="s">
        <v>1119</v>
      </c>
      <c r="H3" s="243" t="s">
        <v>1055</v>
      </c>
      <c r="I3" s="244" t="s">
        <v>1119</v>
      </c>
      <c r="J3" s="241" t="s">
        <v>1055</v>
      </c>
      <c r="K3" s="242" t="s">
        <v>1119</v>
      </c>
      <c r="L3" s="241" t="s">
        <v>1055</v>
      </c>
      <c r="M3" s="242" t="s">
        <v>1119</v>
      </c>
      <c r="N3" s="241" t="s">
        <v>1055</v>
      </c>
      <c r="O3" s="242" t="s">
        <v>1119</v>
      </c>
      <c r="P3" s="243" t="s">
        <v>1055</v>
      </c>
      <c r="Q3" s="244" t="s">
        <v>1119</v>
      </c>
      <c r="R3" s="243" t="s">
        <v>1055</v>
      </c>
      <c r="S3" s="244" t="s">
        <v>1119</v>
      </c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 t="s">
        <v>1055</v>
      </c>
      <c r="AE3" s="242" t="s">
        <v>1119</v>
      </c>
      <c r="AF3" s="242" t="s">
        <v>1120</v>
      </c>
      <c r="AG3" s="242" t="s">
        <v>1121</v>
      </c>
    </row>
    <row r="4" spans="1:37" ht="15" customHeight="1" thickBot="1">
      <c r="A4" s="245" t="s">
        <v>1122</v>
      </c>
      <c r="B4" s="246">
        <v>336.35848800000002</v>
      </c>
      <c r="C4" s="247">
        <v>205.31077530499999</v>
      </c>
      <c r="D4" s="246">
        <v>393.76558699999998</v>
      </c>
      <c r="E4" s="247">
        <v>249.74388797500001</v>
      </c>
      <c r="F4" s="246">
        <v>385.084292</v>
      </c>
      <c r="G4" s="247">
        <v>246.409069625</v>
      </c>
      <c r="H4" s="248">
        <f>B4+D4+F4</f>
        <v>1115.208367</v>
      </c>
      <c r="I4" s="249">
        <f>C4+E4+G4</f>
        <v>701.46373290500003</v>
      </c>
      <c r="J4" s="246">
        <v>340.14845500000001</v>
      </c>
      <c r="K4" s="247">
        <v>217.55292501700001</v>
      </c>
      <c r="L4" s="246">
        <v>313.91769399999998</v>
      </c>
      <c r="M4" s="247">
        <v>200.63440303299998</v>
      </c>
      <c r="N4" s="246">
        <v>326.16040400000003</v>
      </c>
      <c r="O4" s="247">
        <v>209.85474702900001</v>
      </c>
      <c r="P4" s="987">
        <f>J4+L4+N4</f>
        <v>980.22655299999997</v>
      </c>
      <c r="Q4" s="249">
        <f>K4+M4+O4</f>
        <v>628.04207507900003</v>
      </c>
      <c r="R4" s="248">
        <v>830.30699600000003</v>
      </c>
      <c r="S4" s="243">
        <v>527.27592327499997</v>
      </c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6">
        <f t="shared" ref="AD4:AE12" si="0">B4+D4+F4+J4+L4+N4+R4+T4+V4+X4+Z4+AB4</f>
        <v>2925.7419159999999</v>
      </c>
      <c r="AE4" s="380">
        <f>C4+E4+G4+K4+M4+O4+S4+U4+W4+Y4+AA4+AC4</f>
        <v>1856.781731259</v>
      </c>
      <c r="AF4" s="247">
        <f>AE4/AD4*10</f>
        <v>6.3463619983185149</v>
      </c>
      <c r="AG4" s="247">
        <v>5.6</v>
      </c>
      <c r="AH4" s="295">
        <f>+AD4-H4</f>
        <v>1810.533549</v>
      </c>
      <c r="AI4" s="240">
        <v>2095</v>
      </c>
      <c r="AJ4" s="300">
        <v>2926</v>
      </c>
      <c r="AK4" s="240">
        <f>+AJ4-AI4</f>
        <v>831</v>
      </c>
    </row>
    <row r="5" spans="1:37" ht="15" customHeight="1" thickBot="1">
      <c r="A5" s="245" t="s">
        <v>1123</v>
      </c>
      <c r="B5" s="246">
        <v>10.946937999999999</v>
      </c>
      <c r="C5" s="247">
        <v>7.108620589</v>
      </c>
      <c r="D5" s="246">
        <v>10.685586000000001</v>
      </c>
      <c r="E5" s="247">
        <v>7.1587230349999995</v>
      </c>
      <c r="F5" s="246">
        <v>9.7049850000000006</v>
      </c>
      <c r="G5" s="247">
        <v>6.5869255139999989</v>
      </c>
      <c r="H5" s="248">
        <f t="shared" ref="H5:I12" si="1">B5+D5+F5</f>
        <v>31.337509000000001</v>
      </c>
      <c r="I5" s="249">
        <f t="shared" si="1"/>
        <v>20.854269137999999</v>
      </c>
      <c r="J5" s="246">
        <v>11.175824</v>
      </c>
      <c r="K5" s="247">
        <v>7.6229014790000003</v>
      </c>
      <c r="L5" s="246">
        <v>10.434637</v>
      </c>
      <c r="M5" s="247">
        <v>7.2368164499999983</v>
      </c>
      <c r="N5" s="246">
        <v>11.015226999999999</v>
      </c>
      <c r="O5" s="247">
        <v>7.5764221340000004</v>
      </c>
      <c r="P5" s="987">
        <f t="shared" ref="P5:Q12" si="2">J5+L5+N5</f>
        <v>32.625687999999997</v>
      </c>
      <c r="Q5" s="249">
        <f t="shared" si="2"/>
        <v>22.436140063</v>
      </c>
      <c r="R5" s="248">
        <v>31.703482000000001</v>
      </c>
      <c r="S5" s="243">
        <v>21.506209643000002</v>
      </c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6">
        <f t="shared" si="0"/>
        <v>95.666679000000016</v>
      </c>
      <c r="AE5" s="380">
        <f t="shared" si="0"/>
        <v>64.796618843999994</v>
      </c>
      <c r="AF5" s="247">
        <f t="shared" ref="AF5:AF13" si="3">AE5/AD5*10</f>
        <v>6.7731648596268279</v>
      </c>
      <c r="AG5" s="247">
        <v>6</v>
      </c>
      <c r="AH5" s="295">
        <f t="shared" ref="AH5:AH12" si="4">+AD5-H5</f>
        <v>64.329170000000019</v>
      </c>
      <c r="AI5" s="240">
        <v>64</v>
      </c>
      <c r="AJ5" s="300">
        <v>96</v>
      </c>
      <c r="AK5" s="240">
        <f t="shared" ref="AK5:AK13" si="5">+AJ5-AI5</f>
        <v>32</v>
      </c>
    </row>
    <row r="6" spans="1:37" ht="15" customHeight="1" thickBot="1">
      <c r="A6" s="245" t="s">
        <v>1124</v>
      </c>
      <c r="B6" s="246">
        <v>651.22644400000001</v>
      </c>
      <c r="C6" s="247">
        <v>481.02830395900003</v>
      </c>
      <c r="D6" s="246">
        <v>586.44460299999992</v>
      </c>
      <c r="E6" s="247">
        <v>445.65079741800002</v>
      </c>
      <c r="F6" s="246">
        <v>581.72476500000005</v>
      </c>
      <c r="G6" s="247">
        <v>448.48129879599998</v>
      </c>
      <c r="H6" s="248">
        <f t="shared" si="1"/>
        <v>1819.3958119999998</v>
      </c>
      <c r="I6" s="249">
        <f t="shared" si="1"/>
        <v>1375.160400173</v>
      </c>
      <c r="J6" s="246">
        <v>596.30380699999989</v>
      </c>
      <c r="K6" s="247">
        <v>464.52899014000002</v>
      </c>
      <c r="L6" s="246">
        <v>643.35912999999994</v>
      </c>
      <c r="M6" s="247">
        <v>501.60276013900005</v>
      </c>
      <c r="N6" s="246">
        <v>639.60737600000004</v>
      </c>
      <c r="O6" s="247">
        <v>498.416390272</v>
      </c>
      <c r="P6" s="248">
        <f t="shared" si="2"/>
        <v>1879.270313</v>
      </c>
      <c r="Q6" s="249">
        <f t="shared" si="2"/>
        <v>1464.548140551</v>
      </c>
      <c r="R6" s="248">
        <v>1776.3042150000001</v>
      </c>
      <c r="S6" s="243">
        <v>1384.9029935929998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6">
        <f t="shared" si="0"/>
        <v>5474.9703399999999</v>
      </c>
      <c r="AE6" s="247">
        <f t="shared" si="0"/>
        <v>4224.6115343170004</v>
      </c>
      <c r="AF6" s="247">
        <f t="shared" si="3"/>
        <v>7.7162272523233444</v>
      </c>
      <c r="AG6" s="247">
        <v>7.09</v>
      </c>
      <c r="AH6" s="295">
        <f t="shared" si="4"/>
        <v>3655.5745280000001</v>
      </c>
      <c r="AI6" s="240">
        <v>3708</v>
      </c>
      <c r="AJ6" s="300">
        <v>5486</v>
      </c>
      <c r="AK6" s="240">
        <f t="shared" si="5"/>
        <v>1778</v>
      </c>
    </row>
    <row r="7" spans="1:37" ht="15" customHeight="1" thickBot="1">
      <c r="A7" s="245" t="s">
        <v>1125</v>
      </c>
      <c r="B7" s="246">
        <f>1499.091782-106.77</f>
        <v>1392.321782</v>
      </c>
      <c r="C7" s="247">
        <f>1022.526871687-C19-C20</f>
        <v>1019.8238716870001</v>
      </c>
      <c r="D7" s="246">
        <f>1495.526603-131.05</f>
        <v>1364.4766030000001</v>
      </c>
      <c r="E7" s="247">
        <f>1057.06015301-E19-E20</f>
        <v>1054.35715301</v>
      </c>
      <c r="F7" s="246">
        <f>1485.821346-F26+43</f>
        <v>1355.491346</v>
      </c>
      <c r="G7" s="247">
        <f>1029.408936373-G19-G20</f>
        <v>1026.705936373</v>
      </c>
      <c r="H7" s="248">
        <f>B7+D7+F7</f>
        <v>4112.2897309999998</v>
      </c>
      <c r="I7" s="249">
        <f t="shared" si="1"/>
        <v>3100.8869610699999</v>
      </c>
      <c r="J7" s="246">
        <f>1469.916143-J26</f>
        <v>1308.6361429999999</v>
      </c>
      <c r="K7" s="247">
        <f>1030.10490468-K19-K20</f>
        <v>1027.4019046799999</v>
      </c>
      <c r="L7" s="246">
        <f>1520.929851-L26</f>
        <v>1360.029851</v>
      </c>
      <c r="M7" s="247">
        <f>1066.922171143-M19-M20</f>
        <v>1064.219171143</v>
      </c>
      <c r="N7" s="246">
        <f>1511.07821-N26</f>
        <v>1350.1782099999998</v>
      </c>
      <c r="O7" s="247">
        <f>1069.646678093-O19-O20</f>
        <v>1066.943678093</v>
      </c>
      <c r="P7" s="987">
        <f>J7+L7+N7-43</f>
        <v>3975.844204</v>
      </c>
      <c r="Q7" s="249">
        <f>K7+M7+O7</f>
        <v>3158.564753916</v>
      </c>
      <c r="R7" s="248">
        <v>3950.3610869999998</v>
      </c>
      <c r="S7" s="243">
        <v>3171.3174425760003</v>
      </c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6">
        <f>B7+D7+F7+J7+L7+N7+R7+T7+V7+X7+Z7+AB7-43</f>
        <v>12038.495021999999</v>
      </c>
      <c r="AE7" s="249">
        <f>C7+E7+G7+K7+M7+O7+S7+U7+W7+Y7+AA7+AC7-34.14-20.26-33.47</f>
        <v>9342.8991575620003</v>
      </c>
      <c r="AF7" s="247">
        <f t="shared" si="3"/>
        <v>7.7608531136891479</v>
      </c>
      <c r="AG7" s="247">
        <v>7.13</v>
      </c>
      <c r="AH7" s="295">
        <f t="shared" si="4"/>
        <v>7926.2052909999993</v>
      </c>
      <c r="AI7" s="240">
        <v>8088</v>
      </c>
      <c r="AJ7" s="300">
        <v>12038</v>
      </c>
      <c r="AK7" s="240">
        <f t="shared" si="5"/>
        <v>3950</v>
      </c>
    </row>
    <row r="8" spans="1:37" ht="15" customHeight="1" thickBot="1">
      <c r="A8" s="245" t="s">
        <v>1126</v>
      </c>
      <c r="B8" s="246">
        <v>0.93980799999999998</v>
      </c>
      <c r="C8" s="247">
        <v>0.73942540999999995</v>
      </c>
      <c r="D8" s="246">
        <v>0.98925799999999997</v>
      </c>
      <c r="E8" s="247">
        <v>0.81210848800000002</v>
      </c>
      <c r="F8" s="246">
        <v>1.248734</v>
      </c>
      <c r="G8" s="247">
        <v>0.99483403699999995</v>
      </c>
      <c r="H8" s="248">
        <f t="shared" si="1"/>
        <v>3.1778</v>
      </c>
      <c r="I8" s="249">
        <f t="shared" si="1"/>
        <v>2.5463679350000001</v>
      </c>
      <c r="J8" s="246">
        <v>1.3437680000000001</v>
      </c>
      <c r="K8" s="247">
        <v>1.0758279159999999</v>
      </c>
      <c r="L8" s="246">
        <v>1.1619170000000001</v>
      </c>
      <c r="M8" s="247">
        <v>0.94245154600000014</v>
      </c>
      <c r="N8" s="246">
        <v>1.006456</v>
      </c>
      <c r="O8" s="247">
        <v>0.82749429699999999</v>
      </c>
      <c r="P8" s="248">
        <f t="shared" si="2"/>
        <v>3.5121410000000002</v>
      </c>
      <c r="Q8" s="249">
        <f t="shared" si="2"/>
        <v>2.8457737590000001</v>
      </c>
      <c r="R8" s="248">
        <v>2.4938769999999999</v>
      </c>
      <c r="S8" s="243">
        <v>2.083705379</v>
      </c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6">
        <f t="shared" si="0"/>
        <v>9.1838180000000005</v>
      </c>
      <c r="AE8" s="380">
        <f t="shared" si="0"/>
        <v>7.4758470730000006</v>
      </c>
      <c r="AF8" s="247">
        <f t="shared" si="3"/>
        <v>8.1402387035544486</v>
      </c>
      <c r="AG8" s="247">
        <v>7.95</v>
      </c>
      <c r="AH8" s="295">
        <f t="shared" si="4"/>
        <v>6.006018000000001</v>
      </c>
      <c r="AI8" s="240">
        <v>7</v>
      </c>
      <c r="AJ8" s="300">
        <v>9</v>
      </c>
      <c r="AK8" s="240">
        <f t="shared" si="5"/>
        <v>2</v>
      </c>
    </row>
    <row r="9" spans="1:37" ht="15" customHeight="1" thickBot="1">
      <c r="A9" s="245" t="s">
        <v>1127</v>
      </c>
      <c r="B9" s="246">
        <f>79.372062+B34</f>
        <v>119.542062</v>
      </c>
      <c r="C9" s="247">
        <f>7.354066401+C34</f>
        <v>34.887966401</v>
      </c>
      <c r="D9" s="246">
        <f>75.586652+D34</f>
        <v>115.886652</v>
      </c>
      <c r="E9" s="247">
        <f>9.396075281+E34</f>
        <v>45.389475281000003</v>
      </c>
      <c r="F9" s="246">
        <f>46.352091+F34</f>
        <v>86.492091000000002</v>
      </c>
      <c r="G9" s="247">
        <f>5.170733057+G34</f>
        <v>26.832133057</v>
      </c>
      <c r="H9" s="248">
        <f>B9+D9+F9</f>
        <v>321.92080500000003</v>
      </c>
      <c r="I9" s="249">
        <f t="shared" si="1"/>
        <v>107.10957473900001</v>
      </c>
      <c r="J9" s="248">
        <f>16.019172+J34</f>
        <v>30.309172</v>
      </c>
      <c r="K9" s="249">
        <f>5.762409339+K35</f>
        <v>28.992312635527814</v>
      </c>
      <c r="L9" s="248">
        <f>14.81861+L34</f>
        <v>27.04861</v>
      </c>
      <c r="M9" s="249">
        <f>3.156610647+M35</f>
        <v>14.20208472781901</v>
      </c>
      <c r="N9" s="248">
        <f>14.552638+N34</f>
        <v>26.202638</v>
      </c>
      <c r="O9" s="249">
        <f>5.596307373+O35</f>
        <v>27.092229995653199</v>
      </c>
      <c r="P9" s="987">
        <f t="shared" si="2"/>
        <v>83.560419999999993</v>
      </c>
      <c r="Q9" s="249">
        <f>K9+M9+O9</f>
        <v>70.286627359000022</v>
      </c>
      <c r="R9" s="248">
        <v>288.90939157999998</v>
      </c>
      <c r="S9" s="243">
        <f>102.58288261+55.48</f>
        <v>158.06288261</v>
      </c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6">
        <f t="shared" si="0"/>
        <v>694.39061657999991</v>
      </c>
      <c r="AE9" s="380">
        <f>C9+E9+G9+K9+M9+O9+S9+U9+W9+Y9+AA9+AC9</f>
        <v>335.45908470799998</v>
      </c>
      <c r="AF9" s="247">
        <f t="shared" si="3"/>
        <v>4.8309852797291093</v>
      </c>
      <c r="AG9" s="247">
        <v>4.1100000000000003</v>
      </c>
      <c r="AH9" s="295">
        <f t="shared" si="4"/>
        <v>372.46981157999988</v>
      </c>
      <c r="AI9" s="240">
        <v>405</v>
      </c>
      <c r="AJ9" s="300">
        <v>694</v>
      </c>
      <c r="AK9" s="240">
        <f t="shared" si="5"/>
        <v>289</v>
      </c>
    </row>
    <row r="10" spans="1:37" ht="15" customHeight="1" thickBot="1">
      <c r="A10" s="245" t="s">
        <v>1128</v>
      </c>
      <c r="B10" s="246">
        <v>26.089304000000002</v>
      </c>
      <c r="C10" s="247">
        <v>15.883280757000003</v>
      </c>
      <c r="D10" s="246">
        <v>26.242110999999998</v>
      </c>
      <c r="E10" s="247">
        <v>16.316674382999995</v>
      </c>
      <c r="F10" s="246">
        <v>27.385649000000001</v>
      </c>
      <c r="G10" s="247">
        <f>17.539739654</f>
        <v>17.539739654000002</v>
      </c>
      <c r="H10" s="248">
        <f t="shared" si="1"/>
        <v>79.717063999999993</v>
      </c>
      <c r="I10" s="249">
        <f t="shared" si="1"/>
        <v>49.739694794000002</v>
      </c>
      <c r="J10" s="246">
        <v>23.489312000000002</v>
      </c>
      <c r="K10" s="247">
        <f>15.47355119</f>
        <v>15.47355119</v>
      </c>
      <c r="L10" s="246">
        <v>23.788812</v>
      </c>
      <c r="M10" s="247">
        <f>15.652287729</f>
        <v>15.652287728999999</v>
      </c>
      <c r="N10" s="246">
        <v>23.862177000000003</v>
      </c>
      <c r="O10" s="247">
        <v>15.616368553999999</v>
      </c>
      <c r="P10" s="987">
        <f t="shared" si="2"/>
        <v>71.140301000000008</v>
      </c>
      <c r="Q10" s="249">
        <f t="shared" si="2"/>
        <v>46.742207473000001</v>
      </c>
      <c r="R10" s="248">
        <v>79.245464999999996</v>
      </c>
      <c r="S10" s="243">
        <v>51.441498284000005</v>
      </c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6">
        <f t="shared" si="0"/>
        <v>230.10282999999998</v>
      </c>
      <c r="AE10" s="247">
        <f>C10+E10+G10+K10+M10+O10+S10+U10+W10+Y10+AA10+AC10</f>
        <v>147.92340055099999</v>
      </c>
      <c r="AF10" s="247">
        <f t="shared" si="3"/>
        <v>6.4285780644679598</v>
      </c>
      <c r="AG10" s="247">
        <v>6.14</v>
      </c>
      <c r="AH10" s="295">
        <f t="shared" si="4"/>
        <v>150.38576599999999</v>
      </c>
      <c r="AI10" s="240">
        <v>151</v>
      </c>
      <c r="AJ10" s="300">
        <v>230</v>
      </c>
      <c r="AK10" s="240">
        <f t="shared" si="5"/>
        <v>79</v>
      </c>
    </row>
    <row r="11" spans="1:37" ht="15" customHeight="1">
      <c r="A11" s="245" t="s">
        <v>1129</v>
      </c>
      <c r="B11" s="246">
        <v>0.464891</v>
      </c>
      <c r="C11" s="247">
        <f>64.195819706-C18</f>
        <v>2.2726997059999974</v>
      </c>
      <c r="D11" s="246">
        <v>0.86579300000000003</v>
      </c>
      <c r="E11" s="247">
        <f>50.539695408-E18</f>
        <v>1.653355408000003</v>
      </c>
      <c r="F11" s="246">
        <v>0.51929000000000003</v>
      </c>
      <c r="G11" s="247">
        <f>54.292165005-G18</f>
        <v>0.95216500499999768</v>
      </c>
      <c r="H11" s="248">
        <f t="shared" si="1"/>
        <v>1.849974</v>
      </c>
      <c r="I11" s="249">
        <f t="shared" si="1"/>
        <v>4.8782201189999981</v>
      </c>
      <c r="J11" s="246">
        <v>0.55022000000000004</v>
      </c>
      <c r="K11" s="247">
        <f>55.156004701-K18</f>
        <v>1.0180047010000024</v>
      </c>
      <c r="L11" s="246">
        <v>0.60309900000000005</v>
      </c>
      <c r="M11" s="247">
        <f>62.166835028-M18</f>
        <v>2.086835028000003</v>
      </c>
      <c r="N11" s="246">
        <v>0.43029699999999999</v>
      </c>
      <c r="O11" s="247">
        <f>63.961718357-O18</f>
        <v>1.094718357000005</v>
      </c>
      <c r="P11" s="987">
        <f t="shared" si="2"/>
        <v>1.5836160000000001</v>
      </c>
      <c r="Q11" s="249">
        <f t="shared" si="2"/>
        <v>4.1995580860000103</v>
      </c>
      <c r="R11" s="248">
        <v>0.78828100000000001</v>
      </c>
      <c r="S11" s="243">
        <v>0.53031166800000307</v>
      </c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6">
        <f>B11+D11+F11+J11+L11+N11+R11+T11+V11+X11+Z11+AB11</f>
        <v>4.2218710000000002</v>
      </c>
      <c r="AE11" s="247">
        <f t="shared" si="0"/>
        <v>9.6080898730000115</v>
      </c>
      <c r="AF11" s="247">
        <f t="shared" si="3"/>
        <v>22.757895428353947</v>
      </c>
      <c r="AG11" s="247"/>
      <c r="AH11" s="295">
        <f t="shared" si="4"/>
        <v>2.3718970000000001</v>
      </c>
      <c r="AK11" s="240">
        <f t="shared" si="5"/>
        <v>0</v>
      </c>
    </row>
    <row r="12" spans="1:37" ht="15" customHeight="1">
      <c r="A12" s="245" t="s">
        <v>1130</v>
      </c>
      <c r="B12" s="246">
        <v>1.5735790000000001</v>
      </c>
      <c r="C12" s="247">
        <v>2.8035546099999999</v>
      </c>
      <c r="D12" s="246">
        <v>1.1590910000000001</v>
      </c>
      <c r="E12" s="247">
        <v>2.0191782810000003</v>
      </c>
      <c r="F12" s="246">
        <v>0.47277799999999998</v>
      </c>
      <c r="G12" s="247">
        <v>1.2640847829999999</v>
      </c>
      <c r="H12" s="248">
        <f t="shared" si="1"/>
        <v>3.2054480000000001</v>
      </c>
      <c r="I12" s="249">
        <f t="shared" si="1"/>
        <v>6.0868176740000006</v>
      </c>
      <c r="J12" s="246">
        <v>0.36482700000000001</v>
      </c>
      <c r="K12" s="247">
        <v>1.1667257200000001</v>
      </c>
      <c r="L12" s="246">
        <v>0.857236</v>
      </c>
      <c r="M12" s="247">
        <v>1.7267230410000003</v>
      </c>
      <c r="N12" s="246">
        <v>0.485294</v>
      </c>
      <c r="O12" s="247">
        <v>1.25852545</v>
      </c>
      <c r="P12" s="987">
        <f t="shared" si="2"/>
        <v>1.707357</v>
      </c>
      <c r="Q12" s="249">
        <f t="shared" si="2"/>
        <v>4.1519742110000006</v>
      </c>
      <c r="R12" s="248">
        <v>1.550972</v>
      </c>
      <c r="S12" s="243">
        <v>4.5291990420000001</v>
      </c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6">
        <f t="shared" si="0"/>
        <v>6.4637769999999994</v>
      </c>
      <c r="AE12" s="247">
        <f t="shared" si="0"/>
        <v>14.767990927000001</v>
      </c>
      <c r="AF12" s="247">
        <f t="shared" si="3"/>
        <v>22.847308821142814</v>
      </c>
      <c r="AG12" s="247"/>
      <c r="AH12" s="295">
        <f t="shared" si="4"/>
        <v>3.2583289999999994</v>
      </c>
      <c r="AK12" s="240">
        <f t="shared" si="5"/>
        <v>0</v>
      </c>
    </row>
    <row r="13" spans="1:37" ht="15" customHeight="1">
      <c r="A13" s="250"/>
      <c r="B13" s="251">
        <f t="shared" ref="B13:O13" si="6">SUM(B4:B12)</f>
        <v>2539.4632959999999</v>
      </c>
      <c r="C13" s="252">
        <f t="shared" si="6"/>
        <v>1769.8584984239999</v>
      </c>
      <c r="D13" s="251">
        <f t="shared" si="6"/>
        <v>2500.5152840000001</v>
      </c>
      <c r="E13" s="252">
        <f t="shared" si="6"/>
        <v>1823.1013532789998</v>
      </c>
      <c r="F13" s="251">
        <f t="shared" si="6"/>
        <v>2448.1239299999997</v>
      </c>
      <c r="G13" s="252">
        <f t="shared" si="6"/>
        <v>1775.766186844</v>
      </c>
      <c r="H13" s="253">
        <f>SUM(H4:H12)-1</f>
        <v>7487.1025099999997</v>
      </c>
      <c r="I13" s="254">
        <f t="shared" si="6"/>
        <v>5368.726038546999</v>
      </c>
      <c r="J13" s="251">
        <f t="shared" si="6"/>
        <v>2312.3215280000004</v>
      </c>
      <c r="K13" s="252">
        <f t="shared" si="6"/>
        <v>1764.833143478528</v>
      </c>
      <c r="L13" s="251">
        <f t="shared" si="6"/>
        <v>2381.2009859999994</v>
      </c>
      <c r="M13" s="252">
        <f t="shared" si="6"/>
        <v>1808.3035328368192</v>
      </c>
      <c r="N13" s="251">
        <f t="shared" si="6"/>
        <v>2378.9480790000002</v>
      </c>
      <c r="O13" s="252">
        <f t="shared" si="6"/>
        <v>1828.6805741816531</v>
      </c>
      <c r="P13" s="253">
        <f t="shared" ref="P13:S13" si="7">SUM(P4:P12)</f>
        <v>7029.4705930000009</v>
      </c>
      <c r="Q13" s="254">
        <f t="shared" si="7"/>
        <v>5401.8172504970007</v>
      </c>
      <c r="R13" s="253">
        <f t="shared" si="7"/>
        <v>6961.6637665799999</v>
      </c>
      <c r="S13" s="254">
        <f t="shared" si="7"/>
        <v>5321.6501660700005</v>
      </c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1">
        <f>SUM(AD4:AD12)</f>
        <v>21479.236869580003</v>
      </c>
      <c r="AE13" s="252">
        <f>SUM(AE4:AE12)</f>
        <v>16004.323455113999</v>
      </c>
      <c r="AF13" s="252">
        <f t="shared" si="3"/>
        <v>7.4510670710932665</v>
      </c>
      <c r="AG13" s="252">
        <v>6.77</v>
      </c>
      <c r="AH13" s="295">
        <f>SUM(AH4:AH12)</f>
        <v>13991.134359580001</v>
      </c>
      <c r="AI13" s="240">
        <f>SUM(AI4:AI12)</f>
        <v>14518</v>
      </c>
      <c r="AJ13" s="240">
        <f>SUM(AJ4:AJ12)</f>
        <v>21479</v>
      </c>
      <c r="AK13" s="240">
        <f t="shared" si="5"/>
        <v>6961</v>
      </c>
    </row>
    <row r="14" spans="1:37">
      <c r="H14" s="256"/>
      <c r="I14" s="256">
        <v>5390.39</v>
      </c>
      <c r="P14" s="256"/>
      <c r="Q14" s="256"/>
      <c r="AD14" s="295">
        <f>+H13</f>
        <v>7487.1025099999997</v>
      </c>
      <c r="AE14" s="240">
        <f>+I14</f>
        <v>5390.39</v>
      </c>
      <c r="AF14" s="255">
        <f>AE14/AD14*10</f>
        <v>7.1995675133343422</v>
      </c>
    </row>
    <row r="15" spans="1:37">
      <c r="H15" s="257"/>
      <c r="I15" s="257">
        <f>+I13-I14</f>
        <v>-21.66396145300132</v>
      </c>
      <c r="P15" s="256"/>
      <c r="Q15" s="257">
        <f>+Q10+I15</f>
        <v>25.07824601999868</v>
      </c>
      <c r="AD15" s="295">
        <f>+AD13-AD14</f>
        <v>13992.134359580003</v>
      </c>
      <c r="AE15" s="255">
        <f>+AE13-AE14</f>
        <v>10613.933455113998</v>
      </c>
      <c r="AF15" s="255">
        <f>AE15/AD15*10</f>
        <v>7.5856428921774546</v>
      </c>
    </row>
    <row r="16" spans="1:37" ht="15.75">
      <c r="A16" s="241"/>
      <c r="B16" s="1132">
        <v>44682</v>
      </c>
      <c r="C16" s="1133"/>
      <c r="D16" s="1132">
        <v>44713</v>
      </c>
      <c r="E16" s="1133"/>
      <c r="F16" s="1132">
        <v>44743</v>
      </c>
      <c r="G16" s="1133"/>
      <c r="H16" s="1136" t="s">
        <v>1116</v>
      </c>
      <c r="I16" s="1137"/>
      <c r="J16" s="1132">
        <v>44774</v>
      </c>
      <c r="K16" s="1133"/>
      <c r="L16" s="1132">
        <v>44805</v>
      </c>
      <c r="M16" s="1133"/>
      <c r="N16" s="1132">
        <v>44835</v>
      </c>
      <c r="O16" s="1133"/>
      <c r="P16" s="1136" t="s">
        <v>1117</v>
      </c>
      <c r="Q16" s="1137"/>
      <c r="R16" s="1132">
        <v>44866</v>
      </c>
      <c r="S16" s="1133"/>
      <c r="T16" s="1132">
        <v>44896</v>
      </c>
      <c r="U16" s="1133"/>
      <c r="V16" s="1132">
        <v>44927</v>
      </c>
      <c r="W16" s="1133"/>
      <c r="X16" s="1132">
        <v>44958</v>
      </c>
      <c r="Y16" s="1133"/>
      <c r="Z16" s="1132">
        <v>44986</v>
      </c>
      <c r="AA16" s="1133"/>
      <c r="AB16" s="1132">
        <v>45017</v>
      </c>
      <c r="AC16" s="1133"/>
      <c r="AD16" s="1132" t="s">
        <v>1107</v>
      </c>
      <c r="AE16" s="1133"/>
    </row>
    <row r="17" spans="1:31" ht="30.75">
      <c r="A17" s="241" t="s">
        <v>1118</v>
      </c>
      <c r="B17" s="241" t="s">
        <v>1055</v>
      </c>
      <c r="C17" s="242" t="s">
        <v>1119</v>
      </c>
      <c r="D17" s="241" t="s">
        <v>1055</v>
      </c>
      <c r="E17" s="242" t="s">
        <v>1119</v>
      </c>
      <c r="F17" s="241" t="s">
        <v>1055</v>
      </c>
      <c r="G17" s="242" t="s">
        <v>1119</v>
      </c>
      <c r="H17" s="243" t="s">
        <v>1055</v>
      </c>
      <c r="I17" s="244" t="s">
        <v>1119</v>
      </c>
      <c r="J17" s="241" t="s">
        <v>1055</v>
      </c>
      <c r="K17" s="242" t="s">
        <v>1119</v>
      </c>
      <c r="L17" s="241" t="s">
        <v>1055</v>
      </c>
      <c r="M17" s="242" t="s">
        <v>1119</v>
      </c>
      <c r="N17" s="241" t="s">
        <v>1055</v>
      </c>
      <c r="O17" s="242" t="s">
        <v>1119</v>
      </c>
      <c r="P17" s="243" t="s">
        <v>1055</v>
      </c>
      <c r="Q17" s="244" t="s">
        <v>1119</v>
      </c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 t="s">
        <v>1055</v>
      </c>
      <c r="AE17" s="242" t="s">
        <v>1119</v>
      </c>
    </row>
    <row r="18" spans="1:31" ht="15.75">
      <c r="A18" s="258" t="s">
        <v>1131</v>
      </c>
      <c r="B18" s="241"/>
      <c r="C18" s="247">
        <f>619231200/10^7</f>
        <v>61.923119999999997</v>
      </c>
      <c r="D18" s="247"/>
      <c r="E18" s="247">
        <f>488863400/10^7</f>
        <v>48.886339999999997</v>
      </c>
      <c r="F18" s="247"/>
      <c r="G18" s="247">
        <f>533400000/10^7</f>
        <v>53.34</v>
      </c>
      <c r="H18" s="249">
        <f>B18+D18+F18</f>
        <v>0</v>
      </c>
      <c r="I18" s="249">
        <f>C18+E18+G18</f>
        <v>164.14946</v>
      </c>
      <c r="J18" s="241"/>
      <c r="K18" s="247">
        <f>'[7]POC Essar data'!$E$56/10^7</f>
        <v>54.137999999999998</v>
      </c>
      <c r="L18" s="241"/>
      <c r="M18" s="241">
        <v>60.08</v>
      </c>
      <c r="N18" s="241"/>
      <c r="O18" s="247">
        <f>628670000/10^7</f>
        <v>62.866999999999997</v>
      </c>
      <c r="P18" s="249">
        <f>J18+L18+N18</f>
        <v>0</v>
      </c>
      <c r="Q18" s="249">
        <f>K18+M18+O18</f>
        <v>177.08499999999998</v>
      </c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7">
        <f>C18+E18+G18+K18+M18+O18+S18+U18+W18+Y18+AA18+AC18</f>
        <v>341.23446000000001</v>
      </c>
    </row>
    <row r="19" spans="1:31" ht="15.75">
      <c r="A19" s="258" t="s">
        <v>1132</v>
      </c>
      <c r="B19" s="241"/>
      <c r="C19" s="247">
        <f>14575000/10^7</f>
        <v>1.4575</v>
      </c>
      <c r="D19" s="241"/>
      <c r="E19" s="247">
        <f>14575000/10^7</f>
        <v>1.4575</v>
      </c>
      <c r="F19" s="241"/>
      <c r="G19" s="247">
        <f>14575000/10^7</f>
        <v>1.4575</v>
      </c>
      <c r="H19" s="249">
        <f t="shared" ref="H19:I20" si="8">B19+D19+F19</f>
        <v>0</v>
      </c>
      <c r="I19" s="249">
        <f t="shared" si="8"/>
        <v>4.3725000000000005</v>
      </c>
      <c r="J19" s="241"/>
      <c r="K19" s="247">
        <f>14575000/10^7</f>
        <v>1.4575</v>
      </c>
      <c r="L19" s="241"/>
      <c r="M19" s="247">
        <v>1.4575</v>
      </c>
      <c r="N19" s="241"/>
      <c r="O19" s="247">
        <v>1.4575</v>
      </c>
      <c r="P19" s="249">
        <f t="shared" ref="P19:Q20" si="9">J19+L19+N19</f>
        <v>0</v>
      </c>
      <c r="Q19" s="249">
        <f t="shared" si="9"/>
        <v>4.3725000000000005</v>
      </c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7">
        <f t="shared" ref="AE19:AE21" si="10">C19+E19+G19+K19+M19+O19+S19+U19+W19+Y19+AA19+AC19</f>
        <v>8.7449999999999992</v>
      </c>
    </row>
    <row r="20" spans="1:31" ht="15.75">
      <c r="A20" s="259" t="s">
        <v>1133</v>
      </c>
      <c r="B20" s="247"/>
      <c r="C20" s="247">
        <f>12455000/10^7</f>
        <v>1.2455000000000001</v>
      </c>
      <c r="D20" s="247"/>
      <c r="E20" s="247">
        <f>12455000/10^7</f>
        <v>1.2455000000000001</v>
      </c>
      <c r="F20" s="247"/>
      <c r="G20" s="247">
        <f>12455000/10^7</f>
        <v>1.2455000000000001</v>
      </c>
      <c r="H20" s="249">
        <f t="shared" si="8"/>
        <v>0</v>
      </c>
      <c r="I20" s="249">
        <f t="shared" si="8"/>
        <v>3.7365000000000004</v>
      </c>
      <c r="J20" s="241"/>
      <c r="K20" s="247">
        <f>12455000/10^7</f>
        <v>1.2455000000000001</v>
      </c>
      <c r="L20" s="241"/>
      <c r="M20" s="247">
        <v>1.2455000000000001</v>
      </c>
      <c r="N20" s="241"/>
      <c r="O20" s="247">
        <v>1.2455000000000001</v>
      </c>
      <c r="P20" s="249">
        <f t="shared" si="9"/>
        <v>0</v>
      </c>
      <c r="Q20" s="249">
        <f t="shared" si="9"/>
        <v>3.7365000000000004</v>
      </c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7"/>
      <c r="AE20" s="247">
        <f t="shared" si="10"/>
        <v>7.4729999999999999</v>
      </c>
    </row>
    <row r="21" spans="1:31" ht="15.75">
      <c r="A21" s="250"/>
      <c r="B21" s="252">
        <f>SUM(B20:B20)</f>
        <v>0</v>
      </c>
      <c r="C21" s="252">
        <f>SUM(C18:C20)</f>
        <v>64.62612</v>
      </c>
      <c r="D21" s="252">
        <f>SUM(D20:D20)</f>
        <v>0</v>
      </c>
      <c r="E21" s="252">
        <f>SUM(E18:E20)</f>
        <v>51.58934</v>
      </c>
      <c r="F21" s="252">
        <f>SUM(F20:F20)</f>
        <v>0</v>
      </c>
      <c r="G21" s="252">
        <f>SUM(G18:G20)</f>
        <v>56.043000000000006</v>
      </c>
      <c r="H21" s="254">
        <f>SUM(H20:H20)</f>
        <v>0</v>
      </c>
      <c r="I21" s="254">
        <f>SUM(I18:I20)</f>
        <v>172.25846000000001</v>
      </c>
      <c r="J21" s="250"/>
      <c r="K21" s="252">
        <f>SUM(K18:K20)</f>
        <v>56.841000000000001</v>
      </c>
      <c r="L21" s="250"/>
      <c r="M21" s="252">
        <f>SUM(M18:M20)</f>
        <v>62.783000000000001</v>
      </c>
      <c r="N21" s="250"/>
      <c r="O21" s="250"/>
      <c r="P21" s="254">
        <f>SUM(P20:P20)</f>
        <v>0</v>
      </c>
      <c r="Q21" s="254">
        <f>SUM(Q18:Q20)</f>
        <v>185.19399999999999</v>
      </c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2"/>
      <c r="AE21" s="252">
        <f t="shared" si="10"/>
        <v>291.88246000000004</v>
      </c>
    </row>
    <row r="22" spans="1:31">
      <c r="H22" s="256"/>
      <c r="I22" s="256"/>
      <c r="P22" s="256"/>
      <c r="Q22" s="256"/>
    </row>
    <row r="23" spans="1:31" ht="15.75">
      <c r="H23" s="1138"/>
      <c r="I23" s="1138"/>
      <c r="P23" s="256"/>
      <c r="Q23" s="256"/>
    </row>
    <row r="24" spans="1:31" ht="15.75">
      <c r="A24" s="241"/>
      <c r="B24" s="1132">
        <v>44682</v>
      </c>
      <c r="C24" s="1133"/>
      <c r="D24" s="1132">
        <v>44713</v>
      </c>
      <c r="E24" s="1133"/>
      <c r="F24" s="1132">
        <v>44743</v>
      </c>
      <c r="G24" s="1133"/>
      <c r="H24" s="1139" t="s">
        <v>1116</v>
      </c>
      <c r="I24" s="1139"/>
      <c r="J24" s="1132">
        <v>44774</v>
      </c>
      <c r="K24" s="1133"/>
      <c r="L24" s="1132">
        <v>44805</v>
      </c>
      <c r="M24" s="1133"/>
      <c r="N24" s="1132">
        <v>44835</v>
      </c>
      <c r="O24" s="1133"/>
      <c r="P24" s="1139" t="s">
        <v>1117</v>
      </c>
      <c r="Q24" s="1139"/>
      <c r="R24" s="1132">
        <v>44866</v>
      </c>
      <c r="S24" s="1133"/>
      <c r="T24" s="1132">
        <v>44896</v>
      </c>
      <c r="U24" s="1133"/>
      <c r="V24" s="1132">
        <v>44927</v>
      </c>
      <c r="W24" s="1133"/>
      <c r="X24" s="1132">
        <v>44958</v>
      </c>
      <c r="Y24" s="1133"/>
      <c r="Z24" s="1132">
        <v>44986</v>
      </c>
      <c r="AA24" s="1133"/>
      <c r="AB24" s="1132">
        <v>45017</v>
      </c>
      <c r="AC24" s="1133"/>
      <c r="AD24" s="1132" t="s">
        <v>1107</v>
      </c>
      <c r="AE24" s="1133"/>
    </row>
    <row r="25" spans="1:31" ht="30.75">
      <c r="A25" s="241" t="s">
        <v>1134</v>
      </c>
      <c r="B25" s="241" t="s">
        <v>1055</v>
      </c>
      <c r="C25" s="242" t="s">
        <v>1119</v>
      </c>
      <c r="D25" s="241" t="s">
        <v>1055</v>
      </c>
      <c r="E25" s="242" t="s">
        <v>1119</v>
      </c>
      <c r="F25" s="241" t="s">
        <v>1055</v>
      </c>
      <c r="G25" s="242" t="s">
        <v>1119</v>
      </c>
      <c r="H25" s="243" t="s">
        <v>1055</v>
      </c>
      <c r="I25" s="244" t="s">
        <v>1119</v>
      </c>
      <c r="J25" s="241" t="s">
        <v>1055</v>
      </c>
      <c r="K25" s="242" t="s">
        <v>1119</v>
      </c>
      <c r="L25" s="241" t="s">
        <v>1055</v>
      </c>
      <c r="M25" s="242" t="s">
        <v>1119</v>
      </c>
      <c r="N25" s="241" t="s">
        <v>1055</v>
      </c>
      <c r="O25" s="242" t="s">
        <v>1119</v>
      </c>
      <c r="P25" s="243" t="s">
        <v>1055</v>
      </c>
      <c r="Q25" s="244" t="s">
        <v>1119</v>
      </c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 t="s">
        <v>1055</v>
      </c>
      <c r="AE25" s="242" t="s">
        <v>1119</v>
      </c>
    </row>
    <row r="26" spans="1:31" ht="15.75">
      <c r="A26" s="258"/>
      <c r="B26" s="260">
        <v>106.8</v>
      </c>
      <c r="C26" s="260"/>
      <c r="D26" s="260">
        <v>131.38</v>
      </c>
      <c r="E26" s="260"/>
      <c r="F26" s="261">
        <v>173.33</v>
      </c>
      <c r="G26" s="262"/>
      <c r="H26" s="263">
        <f>B26+D26+F26</f>
        <v>411.51</v>
      </c>
      <c r="I26" s="264"/>
      <c r="J26" s="261">
        <v>161.28</v>
      </c>
      <c r="K26" s="265"/>
      <c r="L26" s="261">
        <v>160.9</v>
      </c>
      <c r="M26" s="265"/>
      <c r="N26" s="263">
        <v>160.9</v>
      </c>
      <c r="O26" s="265"/>
      <c r="P26" s="263">
        <f>J26+L26+N26</f>
        <v>483.08000000000004</v>
      </c>
      <c r="Q26" s="266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3">
        <f>B26+D26+F26+J26+L26+N26+R26+T26+V26+X26+Z26+AB26</f>
        <v>894.58999999999992</v>
      </c>
      <c r="AE26" s="267"/>
    </row>
    <row r="27" spans="1:31">
      <c r="H27" s="256"/>
      <c r="I27" s="256"/>
      <c r="P27" s="256"/>
      <c r="Q27" s="256"/>
    </row>
    <row r="28" spans="1:31">
      <c r="H28" s="256"/>
      <c r="I28" s="256"/>
      <c r="P28" s="256"/>
      <c r="Q28" s="256"/>
    </row>
    <row r="29" spans="1:31" ht="15.75">
      <c r="A29" s="241"/>
      <c r="B29" s="1132">
        <v>44682</v>
      </c>
      <c r="C29" s="1133"/>
      <c r="D29" s="1132">
        <v>44713</v>
      </c>
      <c r="E29" s="1133"/>
      <c r="F29" s="1132">
        <v>44743</v>
      </c>
      <c r="G29" s="1133"/>
      <c r="H29" s="1136" t="s">
        <v>1116</v>
      </c>
      <c r="I29" s="1137"/>
      <c r="J29" s="1132">
        <v>44774</v>
      </c>
      <c r="K29" s="1133"/>
      <c r="L29" s="1132">
        <v>44805</v>
      </c>
      <c r="M29" s="1133"/>
      <c r="N29" s="1132">
        <v>44835</v>
      </c>
      <c r="O29" s="1133"/>
      <c r="P29" s="1136" t="s">
        <v>1117</v>
      </c>
      <c r="Q29" s="1137"/>
      <c r="R29" s="1132">
        <v>44866</v>
      </c>
      <c r="S29" s="1133"/>
      <c r="T29" s="1132">
        <v>44896</v>
      </c>
      <c r="U29" s="1133"/>
      <c r="V29" s="1132">
        <v>44927</v>
      </c>
      <c r="W29" s="1133"/>
      <c r="X29" s="1132">
        <v>44958</v>
      </c>
      <c r="Y29" s="1133"/>
      <c r="Z29" s="1132">
        <v>44986</v>
      </c>
      <c r="AA29" s="1133"/>
      <c r="AB29" s="1132">
        <v>45017</v>
      </c>
      <c r="AC29" s="1133"/>
      <c r="AD29" s="1132" t="s">
        <v>1107</v>
      </c>
      <c r="AE29" s="1133"/>
    </row>
    <row r="30" spans="1:31" ht="30.75">
      <c r="A30" s="258" t="s">
        <v>1135</v>
      </c>
      <c r="B30" s="241" t="s">
        <v>1055</v>
      </c>
      <c r="C30" s="242" t="s">
        <v>1119</v>
      </c>
      <c r="D30" s="241" t="s">
        <v>1055</v>
      </c>
      <c r="E30" s="242" t="s">
        <v>1119</v>
      </c>
      <c r="F30" s="241" t="s">
        <v>1055</v>
      </c>
      <c r="G30" s="242" t="s">
        <v>1119</v>
      </c>
      <c r="H30" s="243" t="s">
        <v>1055</v>
      </c>
      <c r="I30" s="244" t="s">
        <v>1119</v>
      </c>
      <c r="J30" s="241" t="s">
        <v>1055</v>
      </c>
      <c r="K30" s="242" t="s">
        <v>1119</v>
      </c>
      <c r="L30" s="241" t="s">
        <v>1055</v>
      </c>
      <c r="M30" s="242" t="s">
        <v>1119</v>
      </c>
      <c r="N30" s="241" t="s">
        <v>1055</v>
      </c>
      <c r="O30" s="242" t="s">
        <v>1119</v>
      </c>
      <c r="P30" s="243" t="s">
        <v>1055</v>
      </c>
      <c r="Q30" s="244" t="s">
        <v>1119</v>
      </c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 t="s">
        <v>1055</v>
      </c>
      <c r="AE30" s="242" t="s">
        <v>1119</v>
      </c>
    </row>
    <row r="31" spans="1:31" ht="15.75">
      <c r="A31" s="258" t="s">
        <v>1136</v>
      </c>
      <c r="B31" s="246">
        <v>40.17</v>
      </c>
      <c r="C31" s="247">
        <v>0</v>
      </c>
      <c r="D31" s="246">
        <v>40.299999999999997</v>
      </c>
      <c r="E31" s="247">
        <v>6.9848999999999997</v>
      </c>
      <c r="F31" s="246">
        <v>40.14</v>
      </c>
      <c r="G31" s="247">
        <v>0</v>
      </c>
      <c r="H31" s="249">
        <f>B31+D31+F31</f>
        <v>120.61</v>
      </c>
      <c r="I31" s="249">
        <f>C31+E31+G31</f>
        <v>6.9848999999999997</v>
      </c>
      <c r="J31" s="241">
        <v>14.29</v>
      </c>
      <c r="K31" s="241">
        <v>6.95</v>
      </c>
      <c r="L31" s="241">
        <v>12.23</v>
      </c>
      <c r="M31" s="247">
        <v>0</v>
      </c>
      <c r="N31" s="241">
        <v>11.65</v>
      </c>
      <c r="O31" s="241">
        <v>6.91</v>
      </c>
      <c r="P31" s="249">
        <f>J31+L31+N31</f>
        <v>38.17</v>
      </c>
      <c r="Q31" s="249">
        <f>K31+M31+O31</f>
        <v>13.86</v>
      </c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6">
        <f t="shared" ref="AD31:AE33" si="11">B31+D31+F31+J31+L31+N31+R31+T31+V31+X31+Z31+AB31</f>
        <v>158.78</v>
      </c>
      <c r="AE31" s="247">
        <f t="shared" si="11"/>
        <v>20.844899999999999</v>
      </c>
    </row>
    <row r="32" spans="1:31" ht="15.75">
      <c r="A32" s="258" t="s">
        <v>1137</v>
      </c>
      <c r="B32" s="246">
        <v>0</v>
      </c>
      <c r="C32" s="247">
        <f>3.92/100</f>
        <v>3.9199999999999999E-2</v>
      </c>
      <c r="D32" s="246">
        <v>0</v>
      </c>
      <c r="E32" s="247">
        <f>3.65/100</f>
        <v>3.6499999999999998E-2</v>
      </c>
      <c r="F32" s="246">
        <v>0</v>
      </c>
      <c r="G32" s="247">
        <f>3.91/100</f>
        <v>3.9100000000000003E-2</v>
      </c>
      <c r="H32" s="249">
        <f t="shared" ref="H32:I33" si="12">B32+D32+F32</f>
        <v>0</v>
      </c>
      <c r="I32" s="249">
        <f t="shared" si="12"/>
        <v>0.11479999999999999</v>
      </c>
      <c r="J32" s="241">
        <v>0</v>
      </c>
      <c r="K32" s="247">
        <f>3.65/100</f>
        <v>3.6499999999999998E-2</v>
      </c>
      <c r="L32" s="241">
        <v>0</v>
      </c>
      <c r="M32" s="247">
        <f>3.88/100</f>
        <v>3.8800000000000001E-2</v>
      </c>
      <c r="N32" s="241"/>
      <c r="O32" s="247">
        <f>3.68/100</f>
        <v>3.6799999999999999E-2</v>
      </c>
      <c r="P32" s="249">
        <f t="shared" ref="P32:Q33" si="13">J32+L32+N32</f>
        <v>0</v>
      </c>
      <c r="Q32" s="249">
        <f t="shared" si="13"/>
        <v>0.11210000000000001</v>
      </c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6">
        <f t="shared" si="11"/>
        <v>0</v>
      </c>
      <c r="AE32" s="247">
        <f t="shared" si="11"/>
        <v>0.22689999999999999</v>
      </c>
    </row>
    <row r="33" spans="1:32" ht="15.75">
      <c r="A33" s="259" t="s">
        <v>1138</v>
      </c>
      <c r="B33" s="246">
        <v>0</v>
      </c>
      <c r="C33" s="247">
        <v>27.494700000000002</v>
      </c>
      <c r="D33" s="246">
        <v>0</v>
      </c>
      <c r="E33" s="247">
        <v>28.972000000000001</v>
      </c>
      <c r="F33" s="246">
        <v>0</v>
      </c>
      <c r="G33" s="247">
        <v>21.622299999999999</v>
      </c>
      <c r="H33" s="249">
        <f t="shared" si="12"/>
        <v>0</v>
      </c>
      <c r="I33" s="249">
        <f t="shared" si="12"/>
        <v>78.088999999999999</v>
      </c>
      <c r="J33" s="241">
        <v>0</v>
      </c>
      <c r="K33" s="241">
        <v>7.88</v>
      </c>
      <c r="L33" s="241">
        <v>0</v>
      </c>
      <c r="M33" s="241">
        <v>7.03</v>
      </c>
      <c r="N33" s="241"/>
      <c r="O33" s="241">
        <v>6.81</v>
      </c>
      <c r="P33" s="249">
        <f t="shared" si="13"/>
        <v>0</v>
      </c>
      <c r="Q33" s="249">
        <f t="shared" si="13"/>
        <v>21.72</v>
      </c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6">
        <f t="shared" si="11"/>
        <v>0</v>
      </c>
      <c r="AE33" s="247">
        <f t="shared" si="11"/>
        <v>99.808999999999997</v>
      </c>
    </row>
    <row r="34" spans="1:32" ht="15.75">
      <c r="A34" s="250"/>
      <c r="B34" s="251">
        <f>SUM(B31:B33)</f>
        <v>40.17</v>
      </c>
      <c r="C34" s="252">
        <f t="shared" ref="C34:O34" si="14">SUM(C31:C33)</f>
        <v>27.533900000000003</v>
      </c>
      <c r="D34" s="251">
        <f t="shared" si="14"/>
        <v>40.299999999999997</v>
      </c>
      <c r="E34" s="252">
        <f t="shared" si="14"/>
        <v>35.993400000000001</v>
      </c>
      <c r="F34" s="251">
        <f t="shared" si="14"/>
        <v>40.14</v>
      </c>
      <c r="G34" s="252">
        <f t="shared" si="14"/>
        <v>21.6614</v>
      </c>
      <c r="H34" s="254">
        <f>SUM(H33:H33)</f>
        <v>0</v>
      </c>
      <c r="I34" s="254">
        <f>SUM(I31:I33)</f>
        <v>85.188699999999997</v>
      </c>
      <c r="J34" s="251">
        <f t="shared" si="14"/>
        <v>14.29</v>
      </c>
      <c r="K34" s="252">
        <f t="shared" si="14"/>
        <v>14.8665</v>
      </c>
      <c r="L34" s="251">
        <f t="shared" si="14"/>
        <v>12.23</v>
      </c>
      <c r="M34" s="252">
        <f t="shared" si="14"/>
        <v>7.0688000000000004</v>
      </c>
      <c r="N34" s="251">
        <f t="shared" si="14"/>
        <v>11.65</v>
      </c>
      <c r="O34" s="252">
        <f t="shared" si="14"/>
        <v>13.7568</v>
      </c>
      <c r="P34" s="254">
        <f>SUM(P33:P33)</f>
        <v>0</v>
      </c>
      <c r="Q34" s="254">
        <f>SUM(Q31:Q33)</f>
        <v>35.692099999999996</v>
      </c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1">
        <f>SUM(AD31:AD33)</f>
        <v>158.78</v>
      </c>
      <c r="AE34" s="252">
        <f>C34+E34+G34+K34+M34+O34+S34+U34+W34+Y34+AA34+AC34</f>
        <v>120.88080000000001</v>
      </c>
    </row>
    <row r="35" spans="1:32" ht="21">
      <c r="K35" s="280">
        <f>+K34*Q35/Q34</f>
        <v>23.229903296527812</v>
      </c>
      <c r="L35" s="281"/>
      <c r="M35" s="280">
        <f>+M34*Q35/Q34</f>
        <v>11.045474080819009</v>
      </c>
      <c r="N35" s="281"/>
      <c r="O35" s="280">
        <f>+O34*Q35/Q34</f>
        <v>21.4959226226532</v>
      </c>
      <c r="P35" s="281"/>
      <c r="Q35" s="280">
        <f>+AE35-I34</f>
        <v>55.771300000000011</v>
      </c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>
        <f>140.96</f>
        <v>140.96</v>
      </c>
      <c r="AF35" s="240" t="s">
        <v>1150</v>
      </c>
    </row>
    <row r="36" spans="1:32">
      <c r="AE36" s="255"/>
    </row>
    <row r="38" spans="1:32">
      <c r="C38" s="268">
        <f>B13+D13+F13-B26-D26-F26</f>
        <v>7076.5925099999995</v>
      </c>
    </row>
  </sheetData>
  <mergeCells count="62">
    <mergeCell ref="AD29:AE29"/>
    <mergeCell ref="P29:Q29"/>
    <mergeCell ref="R29:S29"/>
    <mergeCell ref="T29:U29"/>
    <mergeCell ref="V29:W29"/>
    <mergeCell ref="X29:Y29"/>
    <mergeCell ref="Z29:AA29"/>
    <mergeCell ref="AB24:AC24"/>
    <mergeCell ref="AD24:AE24"/>
    <mergeCell ref="B29:C29"/>
    <mergeCell ref="D29:E29"/>
    <mergeCell ref="F29:G29"/>
    <mergeCell ref="H29:I29"/>
    <mergeCell ref="J29:K29"/>
    <mergeCell ref="L29:M29"/>
    <mergeCell ref="N29:O29"/>
    <mergeCell ref="N24:O24"/>
    <mergeCell ref="P24:Q24"/>
    <mergeCell ref="R24:S24"/>
    <mergeCell ref="T24:U24"/>
    <mergeCell ref="V24:W24"/>
    <mergeCell ref="X24:Y24"/>
    <mergeCell ref="AB29:AC29"/>
    <mergeCell ref="AB16:AC16"/>
    <mergeCell ref="AD16:AE16"/>
    <mergeCell ref="H23:I23"/>
    <mergeCell ref="B24:C24"/>
    <mergeCell ref="D24:E24"/>
    <mergeCell ref="F24:G24"/>
    <mergeCell ref="H24:I24"/>
    <mergeCell ref="J24:K24"/>
    <mergeCell ref="L24:M24"/>
    <mergeCell ref="N16:O16"/>
    <mergeCell ref="P16:Q16"/>
    <mergeCell ref="R16:S16"/>
    <mergeCell ref="T16:U16"/>
    <mergeCell ref="V16:W16"/>
    <mergeCell ref="X16:Y16"/>
    <mergeCell ref="Z24:AA24"/>
    <mergeCell ref="B16:C16"/>
    <mergeCell ref="D16:E16"/>
    <mergeCell ref="F16:G16"/>
    <mergeCell ref="H16:I16"/>
    <mergeCell ref="J16:K16"/>
    <mergeCell ref="L16:M16"/>
    <mergeCell ref="T2:U2"/>
    <mergeCell ref="V2:W2"/>
    <mergeCell ref="X2:Y2"/>
    <mergeCell ref="Z2:AA2"/>
    <mergeCell ref="Z16:AA16"/>
    <mergeCell ref="AB2:AC2"/>
    <mergeCell ref="AD2:AG2"/>
    <mergeCell ref="A1:AF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95"/>
  <sheetViews>
    <sheetView topLeftCell="A6" zoomScale="80" zoomScaleNormal="80" workbookViewId="0">
      <selection activeCell="N9" sqref="N9"/>
    </sheetView>
  </sheetViews>
  <sheetFormatPr defaultColWidth="9.140625" defaultRowHeight="15"/>
  <cols>
    <col min="1" max="1" width="9.140625" style="981"/>
    <col min="2" max="2" width="16.85546875" style="981" customWidth="1"/>
    <col min="3" max="3" width="9.140625" style="981"/>
    <col min="4" max="4" width="16.7109375" style="981" customWidth="1"/>
    <col min="5" max="5" width="13.7109375" style="981" customWidth="1"/>
    <col min="6" max="6" width="12.28515625" style="981" customWidth="1"/>
    <col min="7" max="7" width="12" style="981" customWidth="1"/>
    <col min="8" max="9" width="11.5703125" style="981" customWidth="1"/>
    <col min="10" max="10" width="12.28515625" style="981" customWidth="1"/>
    <col min="11" max="11" width="11.5703125" style="981" customWidth="1"/>
    <col min="12" max="12" width="18" style="981" customWidth="1"/>
    <col min="13" max="13" width="29.5703125" style="981" customWidth="1"/>
    <col min="14" max="14" width="12" style="981" bestFit="1" customWidth="1"/>
    <col min="15" max="15" width="17.5703125" style="981" customWidth="1"/>
    <col min="16" max="16" width="12.42578125" style="981" customWidth="1"/>
    <col min="17" max="16384" width="9.140625" style="981"/>
  </cols>
  <sheetData>
    <row r="1" spans="1:16" ht="15" customHeight="1">
      <c r="A1" s="1121" t="s">
        <v>1046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121"/>
      <c r="N1" s="1121"/>
    </row>
    <row r="2" spans="1:16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6" ht="15" customHeight="1">
      <c r="A3" s="1121" t="s">
        <v>1701</v>
      </c>
      <c r="B3" s="1121"/>
      <c r="C3" s="1121"/>
      <c r="D3" s="1121"/>
      <c r="E3" s="1121"/>
      <c r="F3" s="1121"/>
      <c r="G3" s="1121"/>
      <c r="H3" s="1121"/>
      <c r="I3" s="1121"/>
      <c r="J3" s="1121"/>
      <c r="K3" s="1121"/>
      <c r="L3" s="1121"/>
      <c r="M3" s="1121"/>
      <c r="N3" s="1121"/>
    </row>
    <row r="4" spans="1:16" ht="24" customHeight="1">
      <c r="A4" s="1122" t="s">
        <v>1689</v>
      </c>
      <c r="B4" s="1122"/>
      <c r="C4" s="1122"/>
      <c r="D4" s="1122"/>
      <c r="E4" s="1121" t="s">
        <v>1702</v>
      </c>
      <c r="F4" s="1121"/>
      <c r="G4" s="1121"/>
      <c r="H4" s="1121"/>
      <c r="I4" s="1123" t="s">
        <v>1703</v>
      </c>
      <c r="J4" s="1123"/>
      <c r="K4" s="1123"/>
      <c r="L4"/>
      <c r="M4"/>
      <c r="N4"/>
    </row>
    <row r="5" spans="1:16" ht="15" customHeight="1">
      <c r="A5" s="1122" t="s">
        <v>1692</v>
      </c>
      <c r="B5" s="1122"/>
      <c r="C5" s="1122"/>
      <c r="D5" s="1122" t="s">
        <v>1693</v>
      </c>
      <c r="E5" s="1122"/>
      <c r="F5" s="1121" t="s">
        <v>1694</v>
      </c>
      <c r="G5" s="1121"/>
      <c r="H5" s="1121"/>
      <c r="I5" s="1123" t="s">
        <v>1695</v>
      </c>
      <c r="J5" s="1123"/>
      <c r="K5" s="1123"/>
      <c r="L5"/>
      <c r="M5"/>
      <c r="N5"/>
    </row>
    <row r="6" spans="1:16" ht="28.5" customHeight="1">
      <c r="A6" s="1120" t="s">
        <v>1562</v>
      </c>
      <c r="B6" s="1120"/>
      <c r="C6" s="1120"/>
      <c r="D6" s="1120"/>
      <c r="E6" s="1120"/>
      <c r="F6" s="1120"/>
      <c r="G6" s="1120"/>
      <c r="H6" s="1120"/>
      <c r="I6" s="1120"/>
      <c r="J6" s="1120"/>
      <c r="K6" s="1120"/>
      <c r="L6" s="1120"/>
      <c r="M6" s="1120"/>
      <c r="N6" s="1120"/>
    </row>
    <row r="7" spans="1:16" ht="36">
      <c r="A7" s="1037" t="s">
        <v>1563</v>
      </c>
      <c r="B7" s="1037" t="s">
        <v>1564</v>
      </c>
      <c r="C7" s="999"/>
      <c r="D7" s="1037" t="s">
        <v>1565</v>
      </c>
      <c r="E7" s="1038" t="s">
        <v>1566</v>
      </c>
      <c r="F7" s="1038" t="s">
        <v>1567</v>
      </c>
      <c r="G7" s="1038" t="s">
        <v>1568</v>
      </c>
      <c r="H7" s="1038" t="s">
        <v>1569</v>
      </c>
      <c r="I7" s="1038" t="s">
        <v>1570</v>
      </c>
      <c r="J7" s="1038" t="s">
        <v>1571</v>
      </c>
      <c r="K7" s="1038" t="s">
        <v>1572</v>
      </c>
      <c r="L7" s="1038" t="s">
        <v>1573</v>
      </c>
      <c r="M7"/>
      <c r="N7"/>
      <c r="O7" s="982" t="s">
        <v>1574</v>
      </c>
      <c r="P7" s="1022" t="s">
        <v>1575</v>
      </c>
    </row>
    <row r="8" spans="1:16" ht="28.5" customHeight="1">
      <c r="A8" s="1120" t="s">
        <v>1562</v>
      </c>
      <c r="B8" s="1120"/>
      <c r="C8" s="1120"/>
      <c r="D8" s="1120"/>
      <c r="E8" s="1120"/>
      <c r="F8" s="1120"/>
      <c r="G8" s="1120"/>
      <c r="H8" s="1120"/>
      <c r="I8" s="1120"/>
      <c r="J8" s="1120"/>
      <c r="K8" s="1120"/>
      <c r="L8" s="1120"/>
      <c r="M8" s="1120"/>
      <c r="N8" s="1120"/>
    </row>
    <row r="9" spans="1:16">
      <c r="A9" s="999">
        <v>1</v>
      </c>
      <c r="B9" s="999" t="s">
        <v>1122</v>
      </c>
      <c r="C9" s="999"/>
      <c r="D9" s="1000">
        <v>4738170168.6599998</v>
      </c>
      <c r="E9" s="1000">
        <v>55279364.039999999</v>
      </c>
      <c r="F9" s="1000">
        <v>0</v>
      </c>
      <c r="G9" s="1000">
        <v>551493500.11000001</v>
      </c>
      <c r="H9" s="1000">
        <v>17534.7</v>
      </c>
      <c r="I9" s="1000">
        <v>0</v>
      </c>
      <c r="J9" s="1000">
        <v>265398.76</v>
      </c>
      <c r="K9" s="1000">
        <v>74844269.280000001</v>
      </c>
      <c r="L9" s="1000">
        <v>5420070235.5500002</v>
      </c>
      <c r="M9">
        <f>D9-D78</f>
        <v>4518633880.1899996</v>
      </c>
      <c r="N9">
        <f>F30</f>
        <v>147548613.09</v>
      </c>
      <c r="O9" s="981">
        <f>+M9-N9</f>
        <v>4371085267.0999994</v>
      </c>
      <c r="P9" s="981">
        <f>+ROUND(E55/1000000,0)</f>
        <v>688</v>
      </c>
    </row>
    <row r="10" spans="1:16" ht="36">
      <c r="A10" s="999">
        <v>2</v>
      </c>
      <c r="B10" s="999" t="s">
        <v>1123</v>
      </c>
      <c r="C10" s="999"/>
      <c r="D10" s="1000">
        <v>240390477.16</v>
      </c>
      <c r="E10" s="1000">
        <v>82122.2</v>
      </c>
      <c r="F10" s="1000">
        <v>0</v>
      </c>
      <c r="G10" s="1000">
        <v>11732773</v>
      </c>
      <c r="H10" s="1000">
        <v>5220</v>
      </c>
      <c r="I10" s="1000">
        <v>0</v>
      </c>
      <c r="J10" s="1000">
        <v>284741.90000000002</v>
      </c>
      <c r="K10" s="1000">
        <v>2458598.42</v>
      </c>
      <c r="L10" s="1000">
        <v>254953932.68000001</v>
      </c>
      <c r="M10">
        <f t="shared" ref="M10:M24" si="0">D10-D79</f>
        <v>230352342.06999999</v>
      </c>
      <c r="N10">
        <f t="shared" ref="N10:N24" si="1">F31</f>
        <v>6398615.9900000002</v>
      </c>
      <c r="O10" s="981">
        <f t="shared" ref="O10:O25" si="2">+M10-N10</f>
        <v>223953726.07999998</v>
      </c>
      <c r="P10" s="981">
        <f t="shared" ref="P10:P23" si="3">+ROUND(E56/1000000,0)</f>
        <v>33</v>
      </c>
    </row>
    <row r="11" spans="1:16" ht="36">
      <c r="A11" s="999">
        <v>3</v>
      </c>
      <c r="B11" s="999" t="s">
        <v>1124</v>
      </c>
      <c r="C11" s="999"/>
      <c r="D11" s="1000">
        <v>17547675625.259998</v>
      </c>
      <c r="E11" s="1000">
        <v>15639554.039999999</v>
      </c>
      <c r="F11" s="1000">
        <v>0</v>
      </c>
      <c r="G11" s="1000">
        <v>1631009755.49</v>
      </c>
      <c r="H11" s="1000">
        <v>31578.32</v>
      </c>
      <c r="I11" s="1000">
        <v>2340.79</v>
      </c>
      <c r="J11" s="1000">
        <v>4937007.8099999996</v>
      </c>
      <c r="K11" s="1000">
        <v>47467869.229999997</v>
      </c>
      <c r="L11" s="1000">
        <v>19246763730.939999</v>
      </c>
      <c r="M11">
        <f t="shared" si="0"/>
        <v>16855949644.599998</v>
      </c>
      <c r="N11">
        <f t="shared" si="1"/>
        <v>1028420100.64</v>
      </c>
      <c r="O11" s="981">
        <f t="shared" si="2"/>
        <v>15827529543.959999</v>
      </c>
      <c r="P11" s="981">
        <f t="shared" si="3"/>
        <v>2092</v>
      </c>
    </row>
    <row r="12" spans="1:16">
      <c r="A12" s="999">
        <v>4</v>
      </c>
      <c r="B12" s="999" t="s">
        <v>1128</v>
      </c>
      <c r="C12" s="999"/>
      <c r="D12" s="1000">
        <v>481330683</v>
      </c>
      <c r="E12" s="1000">
        <v>404249.77</v>
      </c>
      <c r="F12" s="1000">
        <v>0</v>
      </c>
      <c r="G12" s="1000">
        <v>14829362.029999999</v>
      </c>
      <c r="H12" s="1000">
        <v>1305</v>
      </c>
      <c r="I12" s="1000">
        <v>0</v>
      </c>
      <c r="J12" s="1000">
        <v>45156</v>
      </c>
      <c r="K12" s="1000">
        <v>44752762.670000002</v>
      </c>
      <c r="L12" s="1000">
        <v>541363518.47000003</v>
      </c>
      <c r="M12">
        <f t="shared" si="0"/>
        <v>454772782.01999998</v>
      </c>
      <c r="N12">
        <f t="shared" si="1"/>
        <v>4178590.59</v>
      </c>
      <c r="O12" s="981">
        <f t="shared" si="2"/>
        <v>450594191.43000001</v>
      </c>
      <c r="P12" s="981">
        <f t="shared" si="3"/>
        <v>70</v>
      </c>
    </row>
    <row r="13" spans="1:16">
      <c r="A13" s="999">
        <v>5</v>
      </c>
      <c r="B13" s="999" t="s">
        <v>1127</v>
      </c>
      <c r="C13" s="999"/>
      <c r="D13" s="1000">
        <v>213676126.15000001</v>
      </c>
      <c r="E13" s="1000">
        <v>402381.79</v>
      </c>
      <c r="F13" s="1000">
        <v>0</v>
      </c>
      <c r="G13" s="1000">
        <v>69785.52</v>
      </c>
      <c r="H13" s="1000">
        <v>20064</v>
      </c>
      <c r="I13" s="1000">
        <v>0</v>
      </c>
      <c r="J13" s="1000">
        <v>112306</v>
      </c>
      <c r="K13" s="1000">
        <v>7179780.9500000002</v>
      </c>
      <c r="L13" s="1000">
        <v>221460444.41</v>
      </c>
      <c r="M13">
        <f t="shared" si="0"/>
        <v>209694719.69</v>
      </c>
      <c r="N13">
        <f t="shared" si="1"/>
        <v>30477761.010000002</v>
      </c>
      <c r="O13" s="981">
        <f t="shared" si="2"/>
        <v>179216958.68000001</v>
      </c>
      <c r="P13" s="981">
        <f t="shared" si="3"/>
        <v>205</v>
      </c>
    </row>
    <row r="14" spans="1:16">
      <c r="A14" s="999">
        <v>6</v>
      </c>
      <c r="B14" s="999" t="s">
        <v>1576</v>
      </c>
      <c r="C14" s="999"/>
      <c r="D14" s="1000">
        <v>0</v>
      </c>
      <c r="E14" s="1000">
        <v>0</v>
      </c>
      <c r="F14" s="1000">
        <v>0</v>
      </c>
      <c r="G14" s="1000">
        <v>0</v>
      </c>
      <c r="H14" s="1000">
        <v>0</v>
      </c>
      <c r="I14" s="1000">
        <v>0</v>
      </c>
      <c r="J14" s="1000">
        <v>0</v>
      </c>
      <c r="K14" s="1000">
        <v>0</v>
      </c>
      <c r="L14" s="1000">
        <v>0</v>
      </c>
      <c r="M14">
        <f t="shared" si="0"/>
        <v>0</v>
      </c>
      <c r="N14">
        <f t="shared" si="1"/>
        <v>0</v>
      </c>
      <c r="O14" s="981">
        <f t="shared" si="2"/>
        <v>0</v>
      </c>
      <c r="P14" s="981">
        <f t="shared" si="3"/>
        <v>0</v>
      </c>
    </row>
    <row r="15" spans="1:16">
      <c r="A15" s="999">
        <v>7</v>
      </c>
      <c r="B15" s="999" t="s">
        <v>1577</v>
      </c>
      <c r="C15" s="999"/>
      <c r="D15" s="1000">
        <v>298771095.37</v>
      </c>
      <c r="E15" s="1000">
        <v>638316.17000000004</v>
      </c>
      <c r="F15" s="1000">
        <v>0</v>
      </c>
      <c r="G15" s="1000">
        <v>57638430.539999999</v>
      </c>
      <c r="H15" s="1000">
        <v>1395</v>
      </c>
      <c r="I15" s="1000">
        <v>0</v>
      </c>
      <c r="J15" s="1000">
        <v>5280</v>
      </c>
      <c r="K15" s="1000">
        <v>874346.27</v>
      </c>
      <c r="L15" s="1000">
        <v>357928863.35000002</v>
      </c>
      <c r="M15">
        <f t="shared" si="0"/>
        <v>292176365.13999999</v>
      </c>
      <c r="N15">
        <f t="shared" si="1"/>
        <v>102648840</v>
      </c>
      <c r="O15" s="981">
        <f t="shared" si="2"/>
        <v>189527525.13999999</v>
      </c>
      <c r="P15" s="981">
        <f t="shared" si="3"/>
        <v>25</v>
      </c>
    </row>
    <row r="16" spans="1:16">
      <c r="A16" s="999">
        <v>8</v>
      </c>
      <c r="B16" s="999" t="s">
        <v>1578</v>
      </c>
      <c r="C16" s="999"/>
      <c r="D16" s="1000">
        <v>0</v>
      </c>
      <c r="E16" s="1000">
        <v>0</v>
      </c>
      <c r="F16" s="1000">
        <v>0</v>
      </c>
      <c r="G16" s="1000">
        <v>0</v>
      </c>
      <c r="H16" s="1000">
        <v>436167.02</v>
      </c>
      <c r="I16" s="1000">
        <v>0</v>
      </c>
      <c r="J16" s="1000">
        <v>0</v>
      </c>
      <c r="K16" s="1000">
        <v>0</v>
      </c>
      <c r="L16" s="1000">
        <v>436167.02</v>
      </c>
      <c r="M16">
        <f t="shared" si="0"/>
        <v>0</v>
      </c>
      <c r="N16">
        <f t="shared" si="1"/>
        <v>0</v>
      </c>
      <c r="O16" s="981">
        <f t="shared" si="2"/>
        <v>0</v>
      </c>
      <c r="P16" s="981">
        <f t="shared" si="3"/>
        <v>0</v>
      </c>
    </row>
    <row r="17" spans="1:16">
      <c r="A17" s="999">
        <v>9</v>
      </c>
      <c r="B17" s="999" t="s">
        <v>1579</v>
      </c>
      <c r="C17" s="999"/>
      <c r="D17" s="1000">
        <v>0</v>
      </c>
      <c r="E17" s="1000">
        <v>0</v>
      </c>
      <c r="F17" s="1000">
        <v>0</v>
      </c>
      <c r="G17" s="1000">
        <v>0</v>
      </c>
      <c r="H17" s="1000">
        <v>0</v>
      </c>
      <c r="I17" s="1000">
        <v>0</v>
      </c>
      <c r="J17" s="1000">
        <v>0</v>
      </c>
      <c r="K17" s="1000">
        <v>0</v>
      </c>
      <c r="L17" s="1000">
        <v>0</v>
      </c>
      <c r="M17">
        <f t="shared" si="0"/>
        <v>0</v>
      </c>
      <c r="N17">
        <f t="shared" si="1"/>
        <v>0</v>
      </c>
      <c r="O17" s="981">
        <f t="shared" si="2"/>
        <v>0</v>
      </c>
      <c r="P17" s="981">
        <f t="shared" si="3"/>
        <v>0</v>
      </c>
    </row>
    <row r="18" spans="1:16">
      <c r="A18" s="999">
        <v>8</v>
      </c>
      <c r="B18" s="999" t="s">
        <v>1580</v>
      </c>
      <c r="C18" s="999"/>
      <c r="D18" s="1000">
        <v>29059743.66</v>
      </c>
      <c r="E18" s="1000">
        <v>926451.98</v>
      </c>
      <c r="F18" s="1000">
        <v>0</v>
      </c>
      <c r="G18" s="1000">
        <v>1877056.2</v>
      </c>
      <c r="H18" s="1000">
        <v>2592</v>
      </c>
      <c r="I18" s="1000">
        <v>-52007.61</v>
      </c>
      <c r="J18" s="1000">
        <v>511848</v>
      </c>
      <c r="K18" s="1000">
        <v>4647584.97</v>
      </c>
      <c r="L18" s="1000">
        <v>36973269.200000003</v>
      </c>
      <c r="M18">
        <f t="shared" si="0"/>
        <v>24415167.120000001</v>
      </c>
      <c r="N18">
        <f t="shared" si="1"/>
        <v>0</v>
      </c>
      <c r="O18" s="981">
        <f t="shared" si="2"/>
        <v>24415167.120000001</v>
      </c>
      <c r="P18" s="981">
        <f t="shared" si="3"/>
        <v>1</v>
      </c>
    </row>
    <row r="19" spans="1:16">
      <c r="A19" s="999">
        <v>9</v>
      </c>
      <c r="B19" s="999" t="s">
        <v>1581</v>
      </c>
      <c r="C19" s="999"/>
      <c r="D19" s="1000">
        <v>2462716.33</v>
      </c>
      <c r="E19" s="1000">
        <v>9344.7199999999993</v>
      </c>
      <c r="F19" s="1000">
        <v>0</v>
      </c>
      <c r="G19" s="1000">
        <v>700.86</v>
      </c>
      <c r="H19" s="1000">
        <v>0</v>
      </c>
      <c r="I19" s="1000">
        <v>0</v>
      </c>
      <c r="J19" s="1000">
        <v>0</v>
      </c>
      <c r="K19" s="1000">
        <v>39942.33</v>
      </c>
      <c r="L19" s="1000">
        <v>2512704.2400000002</v>
      </c>
      <c r="M19">
        <f t="shared" si="0"/>
        <v>2462716.15</v>
      </c>
      <c r="N19">
        <f t="shared" si="1"/>
        <v>2448904.4900000002</v>
      </c>
      <c r="O19" s="981">
        <f t="shared" si="2"/>
        <v>13811.659999999683</v>
      </c>
      <c r="P19" s="981">
        <f t="shared" si="3"/>
        <v>0</v>
      </c>
    </row>
    <row r="20" spans="1:16">
      <c r="A20" s="999">
        <v>10</v>
      </c>
      <c r="B20" s="999" t="s">
        <v>1582</v>
      </c>
      <c r="C20" s="999"/>
      <c r="D20" s="1000">
        <v>0</v>
      </c>
      <c r="E20" s="1000">
        <v>24789010.75</v>
      </c>
      <c r="F20" s="1000">
        <v>0</v>
      </c>
      <c r="G20" s="1000">
        <v>2588055.75</v>
      </c>
      <c r="H20" s="1000">
        <v>0</v>
      </c>
      <c r="I20" s="1000">
        <v>0</v>
      </c>
      <c r="J20" s="1000">
        <v>0</v>
      </c>
      <c r="K20" s="1000">
        <v>194243.3</v>
      </c>
      <c r="L20" s="1000">
        <v>27571309.800000001</v>
      </c>
      <c r="M20">
        <f t="shared" si="0"/>
        <v>-3254792.49</v>
      </c>
      <c r="N20">
        <f t="shared" si="1"/>
        <v>0</v>
      </c>
      <c r="O20" s="981">
        <f t="shared" si="2"/>
        <v>-3254792.49</v>
      </c>
      <c r="P20" s="981">
        <f t="shared" si="3"/>
        <v>2</v>
      </c>
    </row>
    <row r="21" spans="1:16">
      <c r="A21" s="999">
        <v>11</v>
      </c>
      <c r="B21" s="999" t="s">
        <v>1583</v>
      </c>
      <c r="C21" s="999"/>
      <c r="D21" s="1000">
        <v>23520014175.599998</v>
      </c>
      <c r="E21" s="1000">
        <v>72445988.010000005</v>
      </c>
      <c r="F21" s="1000">
        <v>0</v>
      </c>
      <c r="G21" s="1000">
        <v>2266773606.6900001</v>
      </c>
      <c r="H21" s="1000">
        <v>513264.04</v>
      </c>
      <c r="I21" s="1000">
        <v>2340.79</v>
      </c>
      <c r="J21" s="1000">
        <v>5649890.4699999997</v>
      </c>
      <c r="K21" s="1000">
        <v>177577626.81999999</v>
      </c>
      <c r="L21" s="1000">
        <v>26042976892.419998</v>
      </c>
      <c r="M21">
        <f t="shared" si="0"/>
        <v>23520014175.599998</v>
      </c>
      <c r="N21">
        <f t="shared" si="1"/>
        <v>1319672521.3199999</v>
      </c>
      <c r="O21" s="981">
        <f t="shared" si="2"/>
        <v>22200341654.279999</v>
      </c>
      <c r="P21" s="981">
        <f t="shared" si="3"/>
        <v>0</v>
      </c>
    </row>
    <row r="22" spans="1:16">
      <c r="A22" s="999">
        <v>14</v>
      </c>
      <c r="B22" s="999" t="s">
        <v>1584</v>
      </c>
      <c r="C22" s="999"/>
      <c r="D22" s="1000">
        <v>31522459.989999998</v>
      </c>
      <c r="E22" s="1000">
        <v>935796.7</v>
      </c>
      <c r="F22" s="1000">
        <v>0</v>
      </c>
      <c r="G22" s="1000">
        <v>1877757.06</v>
      </c>
      <c r="H22" s="1000">
        <v>2592</v>
      </c>
      <c r="I22" s="1000">
        <v>-52007.61</v>
      </c>
      <c r="J22" s="1000">
        <v>511848</v>
      </c>
      <c r="K22" s="1000">
        <v>4687527.3</v>
      </c>
      <c r="L22" s="1000">
        <v>39485973.439999998</v>
      </c>
      <c r="M22">
        <f t="shared" si="0"/>
        <v>-926911981.89999998</v>
      </c>
      <c r="N22">
        <f t="shared" si="1"/>
        <v>2448904.4900000002</v>
      </c>
      <c r="O22" s="981">
        <f t="shared" si="2"/>
        <v>-929360886.38999999</v>
      </c>
      <c r="P22" s="981">
        <f t="shared" si="3"/>
        <v>3112</v>
      </c>
    </row>
    <row r="23" spans="1:16">
      <c r="A23" s="999">
        <v>13</v>
      </c>
      <c r="B23" s="999" t="s">
        <v>1585</v>
      </c>
      <c r="C23" s="999"/>
      <c r="D23" s="1000">
        <v>0</v>
      </c>
      <c r="E23" s="1000">
        <v>24789010.75</v>
      </c>
      <c r="F23" s="1000">
        <v>0</v>
      </c>
      <c r="G23" s="1000">
        <v>2588055.75</v>
      </c>
      <c r="H23" s="1000">
        <v>0</v>
      </c>
      <c r="I23" s="1000">
        <v>0</v>
      </c>
      <c r="J23" s="1000">
        <v>0</v>
      </c>
      <c r="K23" s="1000">
        <v>194243.3</v>
      </c>
      <c r="L23" s="1000">
        <v>27571309.800000001</v>
      </c>
      <c r="M23">
        <f t="shared" si="0"/>
        <v>-4644576.72</v>
      </c>
      <c r="N23">
        <f t="shared" si="1"/>
        <v>0</v>
      </c>
      <c r="O23" s="981">
        <f t="shared" si="2"/>
        <v>-4644576.72</v>
      </c>
      <c r="P23" s="981">
        <f t="shared" si="3"/>
        <v>1</v>
      </c>
    </row>
    <row r="24" spans="1:16">
      <c r="A24" s="999">
        <v>14</v>
      </c>
      <c r="B24" s="999" t="s">
        <v>1586</v>
      </c>
      <c r="C24" s="999"/>
      <c r="D24" s="1000">
        <v>23551536635.59</v>
      </c>
      <c r="E24" s="1000">
        <v>98170795.459999993</v>
      </c>
      <c r="F24" s="1000">
        <v>0</v>
      </c>
      <c r="G24" s="1000">
        <v>2271239419.5</v>
      </c>
      <c r="H24" s="1000">
        <v>515856.04</v>
      </c>
      <c r="I24" s="1000">
        <v>-49666.82</v>
      </c>
      <c r="J24" s="1000">
        <v>6161738.4699999997</v>
      </c>
      <c r="K24" s="1000">
        <v>182459397.41999999</v>
      </c>
      <c r="L24" s="1000">
        <v>26110034175.66</v>
      </c>
      <c r="M24">
        <f t="shared" si="0"/>
        <v>23548281843.099998</v>
      </c>
      <c r="N24">
        <f t="shared" si="1"/>
        <v>1322121425.8099999</v>
      </c>
      <c r="O24" s="981">
        <f t="shared" si="2"/>
        <v>22226160417.289997</v>
      </c>
    </row>
    <row r="25" spans="1:16" ht="28.5" customHeight="1">
      <c r="A25" s="1120" t="s">
        <v>1562</v>
      </c>
      <c r="B25" s="1120"/>
      <c r="C25" s="1120"/>
      <c r="D25" s="1120"/>
      <c r="E25" s="1120"/>
      <c r="F25" s="1120"/>
      <c r="G25" s="1120"/>
      <c r="H25" s="1120"/>
      <c r="I25" s="1120"/>
      <c r="J25" s="1120"/>
      <c r="K25" s="1120"/>
      <c r="L25" s="1120"/>
      <c r="M25" s="1120"/>
      <c r="N25" s="1120"/>
      <c r="O25" s="981">
        <f t="shared" si="2"/>
        <v>0</v>
      </c>
    </row>
    <row r="26" spans="1:16" ht="15" customHeight="1">
      <c r="A26" s="1121" t="s">
        <v>1704</v>
      </c>
      <c r="B26" s="1121"/>
      <c r="C26" s="1121"/>
      <c r="D26" s="1121"/>
      <c r="E26" s="1121"/>
      <c r="F26" s="1121"/>
      <c r="G26" s="1121"/>
      <c r="H26" s="1121"/>
      <c r="I26" s="1121"/>
      <c r="J26" s="1121"/>
      <c r="K26" s="1121"/>
      <c r="L26" s="1121"/>
      <c r="M26" s="1121"/>
      <c r="N26" s="1121"/>
    </row>
    <row r="27" spans="1:16" ht="28.5" customHeight="1">
      <c r="A27" s="1120" t="s">
        <v>1562</v>
      </c>
      <c r="B27" s="1120"/>
      <c r="C27" s="1120"/>
      <c r="D27" s="1120"/>
      <c r="E27" s="1120"/>
      <c r="F27" s="1120"/>
      <c r="G27" s="1120"/>
      <c r="H27" s="1120"/>
      <c r="I27" s="1120"/>
      <c r="J27" s="1120"/>
      <c r="K27" s="1120"/>
      <c r="L27" s="1120"/>
      <c r="M27" s="1120"/>
      <c r="N27" s="1120"/>
    </row>
    <row r="28" spans="1:16" ht="24">
      <c r="A28" s="1037" t="s">
        <v>1563</v>
      </c>
      <c r="B28" s="1037" t="s">
        <v>1564</v>
      </c>
      <c r="C28" s="999"/>
      <c r="D28" s="1038" t="s">
        <v>1587</v>
      </c>
      <c r="E28" s="1038" t="s">
        <v>1588</v>
      </c>
      <c r="F28" s="1038" t="s">
        <v>1589</v>
      </c>
      <c r="G28" s="1038" t="s">
        <v>1590</v>
      </c>
      <c r="H28" s="1038" t="s">
        <v>1591</v>
      </c>
      <c r="I28" s="1038" t="s">
        <v>1592</v>
      </c>
      <c r="J28" s="1038" t="s">
        <v>1697</v>
      </c>
      <c r="K28" s="1038" t="s">
        <v>1593</v>
      </c>
      <c r="L28" s="1038" t="s">
        <v>1594</v>
      </c>
      <c r="M28"/>
      <c r="N28"/>
    </row>
    <row r="29" spans="1:16" ht="28.5" customHeight="1">
      <c r="A29" s="1120" t="s">
        <v>1562</v>
      </c>
      <c r="B29" s="1120"/>
      <c r="C29" s="1120"/>
      <c r="D29" s="1120"/>
      <c r="E29" s="1120"/>
      <c r="F29" s="1120"/>
      <c r="G29" s="1120"/>
      <c r="H29" s="1120"/>
      <c r="I29" s="1120"/>
      <c r="J29" s="1120"/>
      <c r="K29" s="1120"/>
      <c r="L29" s="1120"/>
      <c r="M29" s="1120"/>
      <c r="N29" s="1120"/>
    </row>
    <row r="30" spans="1:16">
      <c r="A30" s="999">
        <v>1</v>
      </c>
      <c r="B30" s="999" t="s">
        <v>1122</v>
      </c>
      <c r="C30" s="999"/>
      <c r="D30" s="1000">
        <v>1476838</v>
      </c>
      <c r="E30" s="1000">
        <v>687532575</v>
      </c>
      <c r="F30" s="1000">
        <v>147548613.09</v>
      </c>
      <c r="G30" s="1000">
        <v>2367675360.1999998</v>
      </c>
      <c r="H30" s="1000">
        <v>2177233731.0700002</v>
      </c>
      <c r="I30" s="1000">
        <v>0</v>
      </c>
      <c r="J30" s="1000">
        <v>20622286.550000001</v>
      </c>
      <c r="K30" s="1000">
        <v>25090177.75</v>
      </c>
      <c r="L30" s="1000">
        <v>4738170168.6599998</v>
      </c>
      <c r="M30"/>
      <c r="N30"/>
    </row>
    <row r="31" spans="1:16" ht="36">
      <c r="A31" s="999">
        <v>2</v>
      </c>
      <c r="B31" s="999" t="s">
        <v>1123</v>
      </c>
      <c r="C31" s="999"/>
      <c r="D31" s="1000">
        <v>18475</v>
      </c>
      <c r="E31" s="1000">
        <v>32518522</v>
      </c>
      <c r="F31" s="1000">
        <v>6398615.9900000002</v>
      </c>
      <c r="G31" s="1000">
        <v>126479125.53</v>
      </c>
      <c r="H31" s="1000">
        <v>102900476.66</v>
      </c>
      <c r="I31" s="1000">
        <v>0</v>
      </c>
      <c r="J31" s="1000">
        <v>1743709.29</v>
      </c>
      <c r="K31" s="1000">
        <v>2868549.69</v>
      </c>
      <c r="L31" s="1000">
        <v>240390477.16</v>
      </c>
      <c r="M31"/>
      <c r="N31"/>
    </row>
    <row r="32" spans="1:16" ht="36">
      <c r="A32" s="999">
        <v>3</v>
      </c>
      <c r="B32" s="999" t="s">
        <v>1124</v>
      </c>
      <c r="C32" s="999"/>
      <c r="D32" s="1000">
        <v>327617</v>
      </c>
      <c r="E32" s="1000">
        <v>2091816077</v>
      </c>
      <c r="F32" s="1000">
        <v>1028420100.64</v>
      </c>
      <c r="G32" s="1000">
        <v>9712573543.0200005</v>
      </c>
      <c r="H32" s="1000">
        <v>6713725664.3699999</v>
      </c>
      <c r="I32" s="1000">
        <v>0</v>
      </c>
      <c r="J32" s="1000">
        <v>35754437.310000002</v>
      </c>
      <c r="K32" s="1000">
        <v>57201879.920000002</v>
      </c>
      <c r="L32" s="1000">
        <v>17547675625.259998</v>
      </c>
      <c r="M32"/>
      <c r="N32"/>
    </row>
    <row r="33" spans="1:14">
      <c r="A33" s="999">
        <v>4</v>
      </c>
      <c r="B33" s="999" t="s">
        <v>1128</v>
      </c>
      <c r="C33" s="999"/>
      <c r="D33" s="1000">
        <v>22296</v>
      </c>
      <c r="E33" s="1000">
        <v>70460335</v>
      </c>
      <c r="F33" s="1000">
        <v>4178590.59</v>
      </c>
      <c r="G33" s="1000">
        <v>246602426.78</v>
      </c>
      <c r="H33" s="1000">
        <v>224486099.46000001</v>
      </c>
      <c r="I33" s="1000">
        <v>0</v>
      </c>
      <c r="J33" s="1000">
        <v>3518622.69</v>
      </c>
      <c r="K33" s="1000">
        <v>2544943.48</v>
      </c>
      <c r="L33" s="1000">
        <v>481330683</v>
      </c>
      <c r="M33"/>
      <c r="N33"/>
    </row>
    <row r="34" spans="1:14">
      <c r="A34" s="999">
        <v>5</v>
      </c>
      <c r="B34" s="999" t="s">
        <v>1127</v>
      </c>
      <c r="C34" s="999"/>
      <c r="D34" s="1000">
        <v>136540</v>
      </c>
      <c r="E34" s="1000">
        <v>205057804</v>
      </c>
      <c r="F34" s="1000">
        <v>30477761.010000002</v>
      </c>
      <c r="G34" s="1000">
        <v>179515077.30000001</v>
      </c>
      <c r="H34" s="1000">
        <v>0</v>
      </c>
      <c r="I34" s="1000">
        <v>0</v>
      </c>
      <c r="J34" s="1000">
        <v>1669552.18</v>
      </c>
      <c r="K34" s="1000">
        <v>2013735.66</v>
      </c>
      <c r="L34" s="1000">
        <v>213676126.15000001</v>
      </c>
      <c r="M34"/>
      <c r="N34"/>
    </row>
    <row r="35" spans="1:14">
      <c r="A35" s="999">
        <v>6</v>
      </c>
      <c r="B35" s="999" t="s">
        <v>1576</v>
      </c>
      <c r="C35" s="999"/>
      <c r="D35" s="1000">
        <v>0</v>
      </c>
      <c r="E35" s="1000">
        <v>0</v>
      </c>
      <c r="F35" s="1000">
        <v>0</v>
      </c>
      <c r="G35" s="1000">
        <v>0</v>
      </c>
      <c r="H35" s="1000">
        <v>0</v>
      </c>
      <c r="I35" s="1000">
        <v>0</v>
      </c>
      <c r="J35" s="1000">
        <v>0</v>
      </c>
      <c r="K35" s="1000">
        <v>0</v>
      </c>
      <c r="L35" s="1000">
        <v>0</v>
      </c>
      <c r="M35"/>
      <c r="N35"/>
    </row>
    <row r="36" spans="1:14">
      <c r="A36" s="999">
        <v>7</v>
      </c>
      <c r="B36" s="999" t="s">
        <v>1577</v>
      </c>
      <c r="C36" s="999"/>
      <c r="D36" s="1000">
        <v>10838</v>
      </c>
      <c r="E36" s="1000">
        <v>24577455</v>
      </c>
      <c r="F36" s="1000">
        <v>102648840</v>
      </c>
      <c r="G36" s="1000">
        <v>114443019.3</v>
      </c>
      <c r="H36" s="1000">
        <v>78474522.25</v>
      </c>
      <c r="I36" s="1000">
        <v>0</v>
      </c>
      <c r="J36" s="1000">
        <v>879154.2</v>
      </c>
      <c r="K36" s="1000">
        <v>2325559.62</v>
      </c>
      <c r="L36" s="1000">
        <v>298771095.37</v>
      </c>
      <c r="M36"/>
      <c r="N36"/>
    </row>
    <row r="37" spans="1:14">
      <c r="A37" s="999">
        <v>8</v>
      </c>
      <c r="B37" s="999" t="s">
        <v>1578</v>
      </c>
      <c r="C37" s="999"/>
      <c r="D37" s="1000">
        <v>894</v>
      </c>
      <c r="E37" s="1000">
        <v>0</v>
      </c>
      <c r="F37" s="1000">
        <v>0</v>
      </c>
      <c r="G37" s="1000">
        <v>0</v>
      </c>
      <c r="H37" s="1000">
        <v>0</v>
      </c>
      <c r="I37" s="1000">
        <v>0</v>
      </c>
      <c r="J37" s="1000">
        <v>0</v>
      </c>
      <c r="K37" s="1000">
        <v>0</v>
      </c>
      <c r="L37" s="1000">
        <v>0</v>
      </c>
      <c r="M37"/>
      <c r="N37"/>
    </row>
    <row r="38" spans="1:14">
      <c r="A38" s="999">
        <v>9</v>
      </c>
      <c r="B38" s="999" t="s">
        <v>1579</v>
      </c>
      <c r="C38" s="999"/>
      <c r="D38" s="1000"/>
      <c r="E38" s="1000"/>
      <c r="F38" s="1000">
        <v>0</v>
      </c>
      <c r="G38" s="1000">
        <v>0</v>
      </c>
      <c r="H38" s="1000">
        <v>0</v>
      </c>
      <c r="I38" s="1000">
        <v>0</v>
      </c>
      <c r="J38" s="1000">
        <v>0</v>
      </c>
      <c r="K38" s="1000">
        <v>0</v>
      </c>
      <c r="L38" s="1000">
        <v>0</v>
      </c>
      <c r="M38"/>
      <c r="N38"/>
    </row>
    <row r="39" spans="1:14">
      <c r="A39" s="999">
        <v>8</v>
      </c>
      <c r="B39" s="999" t="s">
        <v>1580</v>
      </c>
      <c r="C39" s="999"/>
      <c r="D39" s="1000">
        <v>277276</v>
      </c>
      <c r="E39" s="1000">
        <v>1086681</v>
      </c>
      <c r="F39" s="1000">
        <v>0</v>
      </c>
      <c r="G39" s="1000">
        <v>0</v>
      </c>
      <c r="H39" s="1000">
        <v>0</v>
      </c>
      <c r="I39" s="1000">
        <v>0</v>
      </c>
      <c r="J39" s="1000">
        <v>0</v>
      </c>
      <c r="K39" s="1000">
        <v>29059743.66</v>
      </c>
      <c r="L39" s="1000">
        <v>29059743.66</v>
      </c>
      <c r="M39"/>
      <c r="N39"/>
    </row>
    <row r="40" spans="1:14">
      <c r="A40" s="999">
        <v>9</v>
      </c>
      <c r="B40" s="999" t="s">
        <v>1581</v>
      </c>
      <c r="C40" s="999"/>
      <c r="D40" s="1000">
        <v>5931</v>
      </c>
      <c r="E40" s="1000">
        <v>0</v>
      </c>
      <c r="F40" s="1000">
        <v>2448904.4900000002</v>
      </c>
      <c r="G40" s="1000">
        <v>0</v>
      </c>
      <c r="H40" s="1000">
        <v>0</v>
      </c>
      <c r="I40" s="1000">
        <v>0</v>
      </c>
      <c r="J40" s="1000">
        <v>0</v>
      </c>
      <c r="K40" s="1000">
        <v>13811.84</v>
      </c>
      <c r="L40" s="1000">
        <v>2462716.33</v>
      </c>
      <c r="M40"/>
      <c r="N40"/>
    </row>
    <row r="41" spans="1:14">
      <c r="A41" s="999">
        <v>10</v>
      </c>
      <c r="B41" s="999" t="s">
        <v>1582</v>
      </c>
      <c r="C41" s="999"/>
      <c r="D41" s="1000">
        <v>99</v>
      </c>
      <c r="E41" s="1000">
        <v>1812493</v>
      </c>
      <c r="F41" s="1000">
        <v>0</v>
      </c>
      <c r="G41" s="1000">
        <v>0</v>
      </c>
      <c r="H41" s="1000">
        <v>0</v>
      </c>
      <c r="I41" s="1000">
        <v>0</v>
      </c>
      <c r="J41" s="1000">
        <v>0</v>
      </c>
      <c r="K41" s="1000">
        <v>0</v>
      </c>
      <c r="L41" s="1000">
        <v>0</v>
      </c>
      <c r="M41"/>
      <c r="N41"/>
    </row>
    <row r="42" spans="1:14">
      <c r="A42" s="999">
        <v>11</v>
      </c>
      <c r="B42" s="999" t="s">
        <v>1583</v>
      </c>
      <c r="C42" s="999"/>
      <c r="D42" s="1000">
        <v>1993498</v>
      </c>
      <c r="E42" s="1000">
        <v>3111962768</v>
      </c>
      <c r="F42" s="1000">
        <v>1319672521.3199999</v>
      </c>
      <c r="G42" s="1000">
        <v>12747288552.129999</v>
      </c>
      <c r="H42" s="1000">
        <v>9296820493.8099995</v>
      </c>
      <c r="I42" s="1000">
        <v>0</v>
      </c>
      <c r="J42" s="1000">
        <v>64187762.219999999</v>
      </c>
      <c r="K42" s="1000">
        <v>92044846.120000005</v>
      </c>
      <c r="L42" s="1000">
        <v>23520014175.599998</v>
      </c>
      <c r="M42"/>
      <c r="N42"/>
    </row>
    <row r="43" spans="1:14">
      <c r="A43" s="999">
        <v>14</v>
      </c>
      <c r="B43" s="999" t="s">
        <v>1595</v>
      </c>
      <c r="C43" s="999"/>
      <c r="D43" s="1000">
        <v>283207</v>
      </c>
      <c r="E43" s="1000">
        <v>1086681</v>
      </c>
      <c r="F43" s="1000">
        <v>2448904.4900000002</v>
      </c>
      <c r="G43" s="1000">
        <v>0</v>
      </c>
      <c r="H43" s="1000">
        <v>0</v>
      </c>
      <c r="I43" s="1000">
        <v>0</v>
      </c>
      <c r="J43" s="1000">
        <v>0</v>
      </c>
      <c r="K43" s="1000">
        <v>29073555.5</v>
      </c>
      <c r="L43" s="1000">
        <v>31522459.989999998</v>
      </c>
      <c r="M43"/>
      <c r="N43"/>
    </row>
    <row r="44" spans="1:14">
      <c r="A44" s="999">
        <v>13</v>
      </c>
      <c r="B44" s="999" t="s">
        <v>1585</v>
      </c>
      <c r="C44" s="999"/>
      <c r="D44" s="1000">
        <v>99</v>
      </c>
      <c r="E44" s="1000">
        <v>1812493</v>
      </c>
      <c r="F44" s="1000">
        <v>0</v>
      </c>
      <c r="G44" s="1000">
        <v>0</v>
      </c>
      <c r="H44" s="1000">
        <v>0</v>
      </c>
      <c r="I44" s="1000">
        <v>0</v>
      </c>
      <c r="J44" s="1000">
        <v>0</v>
      </c>
      <c r="K44" s="1000">
        <v>0</v>
      </c>
      <c r="L44" s="1000">
        <v>0</v>
      </c>
      <c r="M44"/>
      <c r="N44"/>
    </row>
    <row r="45" spans="1:14">
      <c r="A45" s="999">
        <v>14</v>
      </c>
      <c r="B45" s="999" t="s">
        <v>1586</v>
      </c>
      <c r="C45" s="999"/>
      <c r="D45" s="1000">
        <v>2276804</v>
      </c>
      <c r="E45" s="1000">
        <v>3114861942</v>
      </c>
      <c r="F45" s="1000">
        <v>1322121425.8099999</v>
      </c>
      <c r="G45" s="1000">
        <v>12747288552.129999</v>
      </c>
      <c r="H45" s="1000">
        <v>9296820493.8099995</v>
      </c>
      <c r="I45" s="1000">
        <v>0</v>
      </c>
      <c r="J45" s="1000">
        <v>64187762.219999999</v>
      </c>
      <c r="K45" s="1000">
        <v>121118401.62</v>
      </c>
      <c r="L45" s="1000">
        <v>23551536635.59</v>
      </c>
      <c r="M45"/>
      <c r="N45"/>
    </row>
    <row r="46" spans="1:14" ht="28.5" customHeight="1">
      <c r="A46" s="1120" t="s">
        <v>1562</v>
      </c>
      <c r="B46" s="1120"/>
      <c r="C46" s="1120"/>
      <c r="D46" s="1120"/>
      <c r="E46" s="1120"/>
      <c r="F46" s="1120"/>
      <c r="G46" s="1120"/>
      <c r="H46" s="1120"/>
      <c r="I46" s="1120"/>
      <c r="J46" s="1120"/>
      <c r="K46" s="1120"/>
      <c r="L46" s="1120"/>
      <c r="M46" s="1120"/>
      <c r="N46" s="1120"/>
    </row>
    <row r="47" spans="1:14">
      <c r="A47" s="1124"/>
      <c r="B47" s="1124"/>
      <c r="C47" s="1124"/>
      <c r="D47" s="1124"/>
      <c r="E47" s="1124"/>
      <c r="F47" s="1124"/>
      <c r="G47" s="1124"/>
      <c r="H47" s="1124"/>
      <c r="I47" s="1124"/>
      <c r="J47" s="1124"/>
      <c r="K47" s="1124"/>
      <c r="L47" s="1124"/>
      <c r="M47" s="1124"/>
      <c r="N47" s="1124"/>
    </row>
    <row r="48" spans="1:14">
      <c r="A48" s="1124"/>
      <c r="B48" s="1124"/>
      <c r="C48" s="1124"/>
      <c r="D48" s="1124"/>
      <c r="E48" s="1124"/>
      <c r="F48" s="1124"/>
      <c r="G48" s="1124"/>
      <c r="H48" s="1124"/>
      <c r="I48" s="1124"/>
      <c r="J48" s="1124"/>
      <c r="K48" s="1124"/>
      <c r="L48" s="1124"/>
      <c r="M48" s="1124"/>
      <c r="N48" s="1124"/>
    </row>
    <row r="49" spans="1:14" ht="15" customHeight="1">
      <c r="A49" s="1125" t="s">
        <v>1705</v>
      </c>
      <c r="B49" s="1125"/>
      <c r="C49" s="1125"/>
      <c r="D49" s="1125"/>
      <c r="E49" s="1125"/>
      <c r="F49" s="1125"/>
      <c r="G49" s="1125"/>
      <c r="H49" s="1125"/>
      <c r="I49" s="1125"/>
      <c r="J49" s="1125"/>
      <c r="K49" s="1125"/>
      <c r="L49" s="1125"/>
      <c r="M49" s="1125"/>
      <c r="N49" s="1125"/>
    </row>
    <row r="50" spans="1:14" ht="24" customHeight="1">
      <c r="A50" s="1122" t="s">
        <v>1689</v>
      </c>
      <c r="B50" s="1122"/>
      <c r="C50" s="1122"/>
      <c r="D50" s="1122"/>
      <c r="E50" s="1121" t="s">
        <v>1702</v>
      </c>
      <c r="F50" s="1121"/>
      <c r="G50" s="1121"/>
      <c r="H50" s="1121"/>
      <c r="I50" s="1123" t="s">
        <v>1703</v>
      </c>
      <c r="J50" s="1123"/>
      <c r="K50" s="1123"/>
      <c r="L50"/>
      <c r="M50"/>
      <c r="N50"/>
    </row>
    <row r="51" spans="1:14" ht="15" customHeight="1">
      <c r="A51" s="1122" t="s">
        <v>1692</v>
      </c>
      <c r="B51" s="1122"/>
      <c r="C51" s="1121" t="s">
        <v>1693</v>
      </c>
      <c r="D51" s="1121"/>
      <c r="E51" s="1121"/>
      <c r="F51" s="1121" t="s">
        <v>1694</v>
      </c>
      <c r="G51" s="1121"/>
      <c r="H51" s="1121"/>
      <c r="I51" s="1123" t="s">
        <v>1695</v>
      </c>
      <c r="J51" s="1123"/>
      <c r="K51" s="1123"/>
      <c r="L51"/>
      <c r="M51"/>
      <c r="N51"/>
    </row>
    <row r="52" spans="1:14" ht="28.5" customHeight="1">
      <c r="A52" s="1120" t="s">
        <v>1562</v>
      </c>
      <c r="B52" s="1120"/>
      <c r="C52" s="1120"/>
      <c r="D52" s="1120"/>
      <c r="E52" s="1120"/>
      <c r="F52" s="1120"/>
      <c r="G52" s="1120"/>
      <c r="H52" s="1120"/>
      <c r="I52" s="1120"/>
      <c r="J52" s="1120"/>
      <c r="K52" s="1120"/>
      <c r="L52" s="1120"/>
      <c r="M52" s="1120"/>
      <c r="N52" s="1120"/>
    </row>
    <row r="53" spans="1:14" ht="24">
      <c r="A53" s="1037" t="s">
        <v>1563</v>
      </c>
      <c r="B53" s="1037" t="s">
        <v>1564</v>
      </c>
      <c r="C53" s="999"/>
      <c r="D53" s="1038" t="s">
        <v>1587</v>
      </c>
      <c r="E53" s="1038" t="s">
        <v>1588</v>
      </c>
      <c r="F53" s="1038" t="s">
        <v>1596</v>
      </c>
      <c r="G53" s="1038" t="s">
        <v>1573</v>
      </c>
      <c r="H53" s="1038" t="s">
        <v>1597</v>
      </c>
      <c r="I53" s="1038" t="s">
        <v>1598</v>
      </c>
      <c r="J53" s="1038" t="s">
        <v>1599</v>
      </c>
      <c r="K53" s="1038" t="s">
        <v>1600</v>
      </c>
      <c r="L53" s="1038" t="s">
        <v>1601</v>
      </c>
      <c r="M53"/>
      <c r="N53"/>
    </row>
    <row r="54" spans="1:14" ht="28.5" customHeight="1">
      <c r="A54" s="1120" t="s">
        <v>1562</v>
      </c>
      <c r="B54" s="1120"/>
      <c r="C54" s="1120"/>
      <c r="D54" s="1120"/>
      <c r="E54" s="1120"/>
      <c r="F54" s="1120"/>
      <c r="G54" s="1120"/>
      <c r="H54" s="1120"/>
      <c r="I54" s="1120"/>
      <c r="J54" s="1120"/>
      <c r="K54" s="1120"/>
      <c r="L54" s="1120"/>
      <c r="M54" s="1120"/>
      <c r="N54" s="1120"/>
    </row>
    <row r="55" spans="1:14">
      <c r="A55" s="999">
        <v>1</v>
      </c>
      <c r="B55" s="999" t="s">
        <v>1122</v>
      </c>
      <c r="C55" s="999"/>
      <c r="D55" s="1000">
        <v>2910981</v>
      </c>
      <c r="E55" s="1000">
        <v>687532575</v>
      </c>
      <c r="F55" s="1000">
        <v>284356641.29000002</v>
      </c>
      <c r="G55" s="1000">
        <v>5420070235.5500002</v>
      </c>
      <c r="H55" s="1000">
        <v>5552047354.6899996</v>
      </c>
      <c r="I55" s="1000">
        <v>440481527.14999998</v>
      </c>
      <c r="J55" s="1000">
        <v>-97302544.829999998</v>
      </c>
      <c r="K55" s="1000">
        <v>0</v>
      </c>
      <c r="L55" s="1000">
        <v>-385404549.82999998</v>
      </c>
      <c r="M55"/>
      <c r="N55"/>
    </row>
    <row r="56" spans="1:14" ht="36">
      <c r="A56" s="999">
        <v>2</v>
      </c>
      <c r="B56" s="999" t="s">
        <v>1123</v>
      </c>
      <c r="C56" s="999"/>
      <c r="D56" s="1000">
        <v>30192</v>
      </c>
      <c r="E56" s="1000">
        <v>32518522</v>
      </c>
      <c r="F56" s="1000">
        <v>4946162.47</v>
      </c>
      <c r="G56" s="1000">
        <v>254953932.68000001</v>
      </c>
      <c r="H56" s="1000">
        <v>244475630.78</v>
      </c>
      <c r="I56" s="1000">
        <v>41223961.579999998</v>
      </c>
      <c r="J56" s="1000">
        <v>-1211132.8700000001</v>
      </c>
      <c r="K56" s="1000">
        <v>0</v>
      </c>
      <c r="L56" s="1000">
        <v>-27010630.079999998</v>
      </c>
      <c r="M56"/>
      <c r="N56"/>
    </row>
    <row r="57" spans="1:14" ht="36">
      <c r="A57" s="999">
        <v>3</v>
      </c>
      <c r="B57" s="999" t="s">
        <v>1124</v>
      </c>
      <c r="C57" s="999"/>
      <c r="D57" s="1000">
        <v>520994</v>
      </c>
      <c r="E57" s="1000">
        <v>2091816077</v>
      </c>
      <c r="F57" s="1000">
        <v>-4002539930.0700002</v>
      </c>
      <c r="G57" s="1000">
        <v>19246763730.939999</v>
      </c>
      <c r="H57" s="1000">
        <v>17450829106.25</v>
      </c>
      <c r="I57" s="1000">
        <v>1226235091.77</v>
      </c>
      <c r="J57" s="1000">
        <v>-61002283.549999997</v>
      </c>
      <c r="K57" s="1000">
        <v>0</v>
      </c>
      <c r="L57" s="1000">
        <v>-3493842680.6999998</v>
      </c>
      <c r="M57"/>
      <c r="N57"/>
    </row>
    <row r="58" spans="1:14">
      <c r="A58" s="999">
        <v>4</v>
      </c>
      <c r="B58" s="999" t="s">
        <v>1128</v>
      </c>
      <c r="C58" s="999"/>
      <c r="D58" s="1000">
        <v>41672</v>
      </c>
      <c r="E58" s="1000">
        <v>70460335</v>
      </c>
      <c r="F58" s="1000">
        <v>168277690.66</v>
      </c>
      <c r="G58" s="1000">
        <v>541363518.47000003</v>
      </c>
      <c r="H58" s="1000">
        <v>340336411.31</v>
      </c>
      <c r="I58" s="1000">
        <v>325332442.08999997</v>
      </c>
      <c r="J58" s="1000">
        <v>-1552107.84</v>
      </c>
      <c r="K58" s="1000">
        <v>0</v>
      </c>
      <c r="L58" s="1000">
        <v>42420247.890000001</v>
      </c>
      <c r="M58"/>
      <c r="N58"/>
    </row>
    <row r="59" spans="1:14">
      <c r="A59" s="999">
        <v>5</v>
      </c>
      <c r="B59" s="999" t="s">
        <v>1127</v>
      </c>
      <c r="C59" s="999"/>
      <c r="D59" s="1000">
        <v>236135</v>
      </c>
      <c r="E59" s="1000">
        <v>205057804</v>
      </c>
      <c r="F59" s="1000">
        <v>138869225.03999999</v>
      </c>
      <c r="G59" s="1000">
        <v>221460444.41</v>
      </c>
      <c r="H59" s="1000">
        <v>279109052.64999998</v>
      </c>
      <c r="I59" s="1000">
        <v>-20720271.98</v>
      </c>
      <c r="J59" s="1000">
        <v>-2736739.62</v>
      </c>
      <c r="K59" s="1000">
        <v>0</v>
      </c>
      <c r="L59" s="1000">
        <v>99204149.159999996</v>
      </c>
      <c r="M59"/>
      <c r="N59"/>
    </row>
    <row r="60" spans="1:14">
      <c r="A60" s="999">
        <v>6</v>
      </c>
      <c r="B60" s="999" t="s">
        <v>1576</v>
      </c>
      <c r="C60" s="999"/>
      <c r="D60" s="1000">
        <v>0</v>
      </c>
      <c r="E60" s="1000">
        <v>0</v>
      </c>
      <c r="F60" s="1000">
        <v>0</v>
      </c>
      <c r="G60" s="1000">
        <v>0</v>
      </c>
      <c r="H60" s="1000">
        <v>0</v>
      </c>
      <c r="I60" s="1000">
        <v>0</v>
      </c>
      <c r="J60" s="1000">
        <v>0</v>
      </c>
      <c r="K60" s="1000">
        <v>0</v>
      </c>
      <c r="L60" s="1000">
        <v>0</v>
      </c>
      <c r="M60"/>
      <c r="N60"/>
    </row>
    <row r="61" spans="1:14">
      <c r="A61" s="999">
        <v>7</v>
      </c>
      <c r="B61" s="999" t="s">
        <v>1577</v>
      </c>
      <c r="C61" s="999"/>
      <c r="D61" s="1000">
        <v>10939</v>
      </c>
      <c r="E61" s="1000">
        <v>24577455</v>
      </c>
      <c r="F61" s="1000">
        <v>-92196200.219999999</v>
      </c>
      <c r="G61" s="1000">
        <v>357928863.35000002</v>
      </c>
      <c r="H61" s="1000">
        <v>334484416.13999999</v>
      </c>
      <c r="I61" s="1000">
        <v>13509793.550000001</v>
      </c>
      <c r="J61" s="1000">
        <v>3859563.85</v>
      </c>
      <c r="K61" s="1000">
        <v>0</v>
      </c>
      <c r="L61" s="1000">
        <v>-78401982.709999993</v>
      </c>
      <c r="M61"/>
      <c r="N61"/>
    </row>
    <row r="62" spans="1:14">
      <c r="A62" s="999">
        <v>8</v>
      </c>
      <c r="B62" s="999" t="s">
        <v>1578</v>
      </c>
      <c r="C62" s="999"/>
      <c r="D62" s="1000">
        <v>246970</v>
      </c>
      <c r="E62" s="1000">
        <v>0</v>
      </c>
      <c r="F62" s="1000">
        <v>829861.16</v>
      </c>
      <c r="G62" s="1000">
        <v>436167.02</v>
      </c>
      <c r="H62" s="1000">
        <v>504041.85</v>
      </c>
      <c r="I62" s="1000">
        <v>-3062.6</v>
      </c>
      <c r="J62" s="1000">
        <v>0</v>
      </c>
      <c r="K62" s="1000">
        <v>0</v>
      </c>
      <c r="L62" s="1000">
        <v>765048.93</v>
      </c>
      <c r="M62"/>
      <c r="N62"/>
    </row>
    <row r="63" spans="1:14">
      <c r="A63" s="999">
        <v>9</v>
      </c>
      <c r="B63" s="999" t="s">
        <v>1579</v>
      </c>
      <c r="C63" s="999"/>
      <c r="D63" s="1000"/>
      <c r="E63" s="1000"/>
      <c r="F63" s="1000">
        <v>0</v>
      </c>
      <c r="G63" s="1000">
        <v>0</v>
      </c>
      <c r="H63" s="1000">
        <v>0</v>
      </c>
      <c r="I63" s="1000">
        <v>0</v>
      </c>
      <c r="J63" s="1000">
        <v>0</v>
      </c>
      <c r="K63" s="1000">
        <v>0</v>
      </c>
      <c r="L63" s="1000">
        <v>0</v>
      </c>
      <c r="M63"/>
      <c r="N63"/>
    </row>
    <row r="64" spans="1:14">
      <c r="A64" s="999">
        <v>8</v>
      </c>
      <c r="B64" s="999" t="s">
        <v>1580</v>
      </c>
      <c r="C64" s="999"/>
      <c r="D64" s="1000">
        <v>470092</v>
      </c>
      <c r="E64" s="1000">
        <v>1086681</v>
      </c>
      <c r="F64" s="1000">
        <v>2023192083.8800001</v>
      </c>
      <c r="G64" s="1000">
        <v>36973269.200000003</v>
      </c>
      <c r="H64" s="1000">
        <v>59250922.630000003</v>
      </c>
      <c r="I64" s="1000">
        <v>21507153.68</v>
      </c>
      <c r="J64" s="1000">
        <v>160028441.72</v>
      </c>
      <c r="K64" s="1000">
        <v>0</v>
      </c>
      <c r="L64" s="1000">
        <v>2139435718.49</v>
      </c>
      <c r="M64"/>
      <c r="N64"/>
    </row>
    <row r="65" spans="1:14">
      <c r="A65" s="999">
        <v>9</v>
      </c>
      <c r="B65" s="999" t="s">
        <v>1581</v>
      </c>
      <c r="C65" s="999"/>
      <c r="D65" s="1000">
        <v>8787</v>
      </c>
      <c r="E65" s="1000">
        <v>0</v>
      </c>
      <c r="F65" s="1000">
        <v>2002647.76</v>
      </c>
      <c r="G65" s="1000">
        <v>2512704.2400000002</v>
      </c>
      <c r="H65" s="1000">
        <v>3210702.17</v>
      </c>
      <c r="I65" s="1000">
        <v>120316.21</v>
      </c>
      <c r="J65" s="1000">
        <v>-84271.86</v>
      </c>
      <c r="K65" s="1000">
        <v>0</v>
      </c>
      <c r="L65" s="1000">
        <v>1100061.76</v>
      </c>
      <c r="M65"/>
      <c r="N65"/>
    </row>
    <row r="66" spans="1:14">
      <c r="A66" s="999">
        <v>10</v>
      </c>
      <c r="B66" s="999" t="s">
        <v>1582</v>
      </c>
      <c r="C66" s="999"/>
      <c r="D66" s="1000">
        <v>17384</v>
      </c>
      <c r="E66" s="1000">
        <v>1812493</v>
      </c>
      <c r="F66" s="1000">
        <v>508109486.51999998</v>
      </c>
      <c r="G66" s="1000">
        <v>27571309.800000001</v>
      </c>
      <c r="H66" s="1000">
        <v>21183950.879999999</v>
      </c>
      <c r="I66" s="1000">
        <v>2963145.47</v>
      </c>
      <c r="J66" s="1000">
        <v>0</v>
      </c>
      <c r="K66" s="1000">
        <v>0</v>
      </c>
      <c r="L66" s="1000">
        <v>511533699.97000003</v>
      </c>
      <c r="M66"/>
      <c r="N66"/>
    </row>
    <row r="67" spans="1:14">
      <c r="A67" s="999">
        <v>11</v>
      </c>
      <c r="B67" s="999" t="s">
        <v>1602</v>
      </c>
      <c r="C67" s="999"/>
      <c r="D67" s="1000">
        <v>0</v>
      </c>
      <c r="E67" s="1000">
        <v>0</v>
      </c>
      <c r="F67" s="1000">
        <v>0</v>
      </c>
      <c r="G67" s="1000">
        <v>0</v>
      </c>
      <c r="H67" s="1000">
        <v>0</v>
      </c>
      <c r="I67" s="1000">
        <v>0</v>
      </c>
      <c r="J67" s="1000">
        <v>0</v>
      </c>
      <c r="K67" s="1000">
        <v>0</v>
      </c>
      <c r="L67" s="1000">
        <v>0</v>
      </c>
      <c r="M67"/>
      <c r="N67"/>
    </row>
    <row r="68" spans="1:14" ht="24">
      <c r="A68" s="999">
        <v>14</v>
      </c>
      <c r="B68" s="999" t="s">
        <v>1603</v>
      </c>
      <c r="C68" s="999"/>
      <c r="D68" s="1000">
        <v>3997883</v>
      </c>
      <c r="E68" s="1000">
        <v>3111962768</v>
      </c>
      <c r="F68" s="1000">
        <v>-3497456549.6700001</v>
      </c>
      <c r="G68" s="1000">
        <v>26042976892.419998</v>
      </c>
      <c r="H68" s="1000">
        <v>24201786013.669998</v>
      </c>
      <c r="I68" s="1000">
        <v>2026059481.5599999</v>
      </c>
      <c r="J68" s="1000">
        <v>-159945244.86000001</v>
      </c>
      <c r="K68" s="1000">
        <v>0</v>
      </c>
      <c r="L68" s="1000">
        <v>-3842270397.3400002</v>
      </c>
      <c r="M68"/>
      <c r="N68"/>
    </row>
    <row r="69" spans="1:14">
      <c r="A69" s="999">
        <v>13</v>
      </c>
      <c r="B69" s="999" t="s">
        <v>1595</v>
      </c>
      <c r="C69" s="999"/>
      <c r="D69" s="1000">
        <v>478879</v>
      </c>
      <c r="E69" s="1000">
        <v>1086681</v>
      </c>
      <c r="F69" s="1000">
        <v>2025194731.6400001</v>
      </c>
      <c r="G69" s="1000">
        <v>39485973.439999998</v>
      </c>
      <c r="H69" s="1000">
        <v>62461624.799999997</v>
      </c>
      <c r="I69" s="1000">
        <v>21627469.890000001</v>
      </c>
      <c r="J69" s="1000">
        <v>159944169.86000001</v>
      </c>
      <c r="K69" s="1000">
        <v>0</v>
      </c>
      <c r="L69" s="1000">
        <v>2140535780.25</v>
      </c>
      <c r="M69"/>
      <c r="N69"/>
    </row>
    <row r="70" spans="1:14">
      <c r="A70" s="999">
        <v>14</v>
      </c>
      <c r="B70" s="999" t="s">
        <v>1585</v>
      </c>
      <c r="C70" s="999"/>
      <c r="D70" s="1000">
        <v>17384</v>
      </c>
      <c r="E70" s="1000">
        <v>1812493</v>
      </c>
      <c r="F70" s="1000">
        <v>508109486.51999998</v>
      </c>
      <c r="G70" s="1000">
        <v>27571309.800000001</v>
      </c>
      <c r="H70" s="1000">
        <v>21183950.879999999</v>
      </c>
      <c r="I70" s="1000">
        <v>2963145.47</v>
      </c>
      <c r="J70" s="1000">
        <v>0</v>
      </c>
      <c r="K70" s="1000">
        <v>0</v>
      </c>
      <c r="L70" s="1000">
        <v>511533699.97000003</v>
      </c>
      <c r="M70"/>
      <c r="N70"/>
    </row>
    <row r="71" spans="1:14">
      <c r="A71" s="999">
        <v>15</v>
      </c>
      <c r="B71" s="999" t="s">
        <v>1586</v>
      </c>
      <c r="C71" s="999"/>
      <c r="D71" s="1000">
        <v>4494146</v>
      </c>
      <c r="E71" s="1000">
        <v>3114861942</v>
      </c>
      <c r="F71" s="1000">
        <v>-964152331.50999999</v>
      </c>
      <c r="G71" s="1000">
        <v>26110034175.66</v>
      </c>
      <c r="H71" s="1000">
        <v>24285431589.349998</v>
      </c>
      <c r="I71" s="1000">
        <v>2050650096.9200001</v>
      </c>
      <c r="J71" s="1000">
        <v>0</v>
      </c>
      <c r="K71" s="1000">
        <v>0</v>
      </c>
      <c r="L71" s="1000">
        <v>-1190200917.1199999</v>
      </c>
      <c r="M71"/>
      <c r="N71"/>
    </row>
    <row r="72" spans="1:14" ht="28.5" customHeight="1">
      <c r="A72" s="1120" t="s">
        <v>1562</v>
      </c>
      <c r="B72" s="1120"/>
      <c r="C72" s="1120"/>
      <c r="D72" s="1120"/>
      <c r="E72" s="1120"/>
      <c r="F72" s="1120"/>
      <c r="G72" s="1120"/>
      <c r="H72" s="1120"/>
      <c r="I72" s="1120"/>
      <c r="J72" s="1120"/>
      <c r="K72" s="1120"/>
      <c r="L72" s="1120"/>
      <c r="M72" s="1120"/>
      <c r="N72" s="1120"/>
    </row>
    <row r="73" spans="1:14" ht="15" customHeight="1">
      <c r="A73" s="1125" t="s">
        <v>1706</v>
      </c>
      <c r="B73" s="1125"/>
      <c r="C73" s="1125"/>
      <c r="D73" s="1125"/>
      <c r="E73" s="1125"/>
      <c r="F73" s="1125"/>
      <c r="G73" s="1125"/>
      <c r="H73" s="1125"/>
      <c r="I73" s="1125"/>
      <c r="J73" s="1125"/>
      <c r="K73" s="1125"/>
      <c r="L73" s="1125"/>
      <c r="M73" s="1125"/>
      <c r="N73" s="1125"/>
    </row>
    <row r="74" spans="1:14" ht="28.5" customHeight="1">
      <c r="A74" s="1120" t="s">
        <v>1562</v>
      </c>
      <c r="B74" s="1120"/>
      <c r="C74" s="1120"/>
      <c r="D74" s="1120"/>
      <c r="E74" s="1120"/>
      <c r="F74" s="1120"/>
      <c r="G74" s="1120"/>
      <c r="H74" s="1120"/>
      <c r="I74" s="1120"/>
      <c r="J74" s="1120"/>
      <c r="K74" s="1120"/>
      <c r="L74" s="1120"/>
      <c r="M74" s="1120"/>
      <c r="N74" s="1120"/>
    </row>
    <row r="75" spans="1:14" ht="24">
      <c r="A75" s="1037" t="s">
        <v>1563</v>
      </c>
      <c r="B75" s="1037" t="s">
        <v>1564</v>
      </c>
      <c r="C75" s="1038" t="s">
        <v>1602</v>
      </c>
      <c r="D75" s="1038" t="s">
        <v>1604</v>
      </c>
      <c r="E75" s="1038" t="s">
        <v>1700</v>
      </c>
      <c r="F75" s="1038" t="s">
        <v>1605</v>
      </c>
      <c r="G75" s="1038" t="s">
        <v>1606</v>
      </c>
      <c r="H75" s="1038" t="s">
        <v>1607</v>
      </c>
      <c r="I75" s="1038" t="s">
        <v>1608</v>
      </c>
      <c r="J75" s="1038" t="s">
        <v>1609</v>
      </c>
      <c r="K75" s="1038" t="s">
        <v>1610</v>
      </c>
      <c r="L75" s="1038" t="s">
        <v>1611</v>
      </c>
      <c r="M75" s="1000"/>
      <c r="N75"/>
    </row>
    <row r="76" spans="1:14" ht="36">
      <c r="A76" s="999"/>
      <c r="B76" s="999"/>
      <c r="C76" s="1038" t="s">
        <v>1612</v>
      </c>
      <c r="D76" s="1038" t="s">
        <v>1613</v>
      </c>
      <c r="E76" s="1038" t="s">
        <v>1614</v>
      </c>
      <c r="F76" s="1038" t="s">
        <v>1615</v>
      </c>
      <c r="G76" s="1038" t="s">
        <v>1616</v>
      </c>
      <c r="H76" s="1038" t="s">
        <v>1594</v>
      </c>
      <c r="I76" s="1038" t="s">
        <v>1617</v>
      </c>
      <c r="J76" s="1038" t="s">
        <v>1618</v>
      </c>
      <c r="K76" s="1038" t="s">
        <v>1619</v>
      </c>
      <c r="L76" s="1038" t="s">
        <v>1620</v>
      </c>
      <c r="M76" s="1038" t="s">
        <v>56</v>
      </c>
      <c r="N76"/>
    </row>
    <row r="77" spans="1:14" ht="28.5" customHeight="1">
      <c r="A77" s="1120" t="s">
        <v>1562</v>
      </c>
      <c r="B77" s="1120"/>
      <c r="C77" s="1120"/>
      <c r="D77" s="1120"/>
      <c r="E77" s="1120"/>
      <c r="F77" s="1120"/>
      <c r="G77" s="1120"/>
      <c r="H77" s="1120"/>
      <c r="I77" s="1120"/>
      <c r="J77" s="1120"/>
      <c r="K77" s="1120"/>
      <c r="L77" s="1120"/>
      <c r="M77" s="1120"/>
      <c r="N77" s="1120"/>
    </row>
    <row r="78" spans="1:14">
      <c r="A78" s="999">
        <v>1</v>
      </c>
      <c r="B78" s="999" t="s">
        <v>1122</v>
      </c>
      <c r="C78" s="1000">
        <v>37930146.340000004</v>
      </c>
      <c r="D78" s="1000">
        <v>219536288.47</v>
      </c>
      <c r="E78" s="1000">
        <v>5114115.24</v>
      </c>
      <c r="F78" s="1000">
        <v>0</v>
      </c>
      <c r="G78" s="1000">
        <v>39556449.380000003</v>
      </c>
      <c r="H78" s="1000">
        <v>8081.17</v>
      </c>
      <c r="I78" s="1000">
        <v>0</v>
      </c>
      <c r="J78" s="1000">
        <v>0</v>
      </c>
      <c r="K78" s="1000">
        <v>138335756.72999999</v>
      </c>
      <c r="L78" s="1000">
        <v>689.82</v>
      </c>
      <c r="M78" s="1000">
        <v>440481527.14999998</v>
      </c>
      <c r="N78"/>
    </row>
    <row r="79" spans="1:14" ht="36">
      <c r="A79" s="999">
        <v>2</v>
      </c>
      <c r="B79" s="999" t="s">
        <v>1123</v>
      </c>
      <c r="C79" s="1000">
        <v>2973856.56</v>
      </c>
      <c r="D79" s="1000">
        <v>10038135.09</v>
      </c>
      <c r="E79" s="1000">
        <v>424152.23</v>
      </c>
      <c r="F79" s="1000">
        <v>0</v>
      </c>
      <c r="G79" s="1000">
        <v>3216421.34</v>
      </c>
      <c r="H79" s="1000">
        <v>18888569.370000001</v>
      </c>
      <c r="I79" s="1000">
        <v>6326.71</v>
      </c>
      <c r="J79" s="1000">
        <v>3861178.91</v>
      </c>
      <c r="K79" s="1000">
        <v>1782139.46</v>
      </c>
      <c r="L79" s="1000">
        <v>33181.910000000003</v>
      </c>
      <c r="M79" s="1000">
        <v>41223961.579999998</v>
      </c>
      <c r="N79"/>
    </row>
    <row r="80" spans="1:14" ht="36">
      <c r="A80" s="999">
        <v>3</v>
      </c>
      <c r="B80" s="999" t="s">
        <v>1124</v>
      </c>
      <c r="C80" s="1000">
        <v>457879371.32999998</v>
      </c>
      <c r="D80" s="1000">
        <v>691725980.65999997</v>
      </c>
      <c r="E80" s="1000">
        <v>19175735.449999999</v>
      </c>
      <c r="F80" s="1000">
        <v>0</v>
      </c>
      <c r="G80" s="1000">
        <v>53631789.979999997</v>
      </c>
      <c r="H80" s="1000">
        <v>0</v>
      </c>
      <c r="I80" s="1000">
        <v>8239.15</v>
      </c>
      <c r="J80" s="1000">
        <v>0</v>
      </c>
      <c r="K80" s="1000">
        <v>3517022</v>
      </c>
      <c r="L80" s="1000">
        <v>296953.2</v>
      </c>
      <c r="M80" s="1000">
        <v>1226235091.77</v>
      </c>
      <c r="N80"/>
    </row>
    <row r="81" spans="1:14">
      <c r="A81" s="999">
        <v>4</v>
      </c>
      <c r="B81" s="999" t="s">
        <v>1128</v>
      </c>
      <c r="C81" s="1000">
        <v>1268899.6100000001</v>
      </c>
      <c r="D81" s="1000">
        <v>26557900.98</v>
      </c>
      <c r="E81" s="1000">
        <v>1548307.73</v>
      </c>
      <c r="F81" s="1000">
        <v>0</v>
      </c>
      <c r="G81" s="1000">
        <v>4833600.47</v>
      </c>
      <c r="H81" s="1000">
        <v>291078366.69</v>
      </c>
      <c r="I81" s="1000">
        <v>0</v>
      </c>
      <c r="J81" s="1000">
        <v>0</v>
      </c>
      <c r="K81" s="1000">
        <v>36524.81</v>
      </c>
      <c r="L81" s="1000">
        <v>8841.7999999999993</v>
      </c>
      <c r="M81" s="1000">
        <v>325332442.08999997</v>
      </c>
      <c r="N81"/>
    </row>
    <row r="82" spans="1:14">
      <c r="A82" s="999">
        <v>5</v>
      </c>
      <c r="B82" s="999" t="s">
        <v>1127</v>
      </c>
      <c r="C82" s="1000">
        <v>355215.31</v>
      </c>
      <c r="D82" s="1000">
        <v>3981406.46</v>
      </c>
      <c r="E82" s="1000">
        <v>-38680774.960000001</v>
      </c>
      <c r="F82" s="1000">
        <v>0</v>
      </c>
      <c r="G82" s="1000">
        <v>2779404.21</v>
      </c>
      <c r="H82" s="1000">
        <v>0</v>
      </c>
      <c r="I82" s="1000">
        <v>0</v>
      </c>
      <c r="J82" s="1000">
        <v>0</v>
      </c>
      <c r="K82" s="1000">
        <v>10844477</v>
      </c>
      <c r="L82" s="1000">
        <v>0</v>
      </c>
      <c r="M82" s="1000">
        <v>-20720271.98</v>
      </c>
      <c r="N82"/>
    </row>
    <row r="83" spans="1:14">
      <c r="A83" s="999">
        <v>6</v>
      </c>
      <c r="B83" s="999" t="s">
        <v>1576</v>
      </c>
      <c r="C83" s="1000">
        <v>0</v>
      </c>
      <c r="D83" s="1000">
        <v>0</v>
      </c>
      <c r="E83" s="1000">
        <v>0</v>
      </c>
      <c r="F83" s="1000">
        <v>0</v>
      </c>
      <c r="G83" s="1000">
        <v>0</v>
      </c>
      <c r="H83" s="1000">
        <v>0</v>
      </c>
      <c r="I83" s="1000">
        <v>0</v>
      </c>
      <c r="J83" s="1000">
        <v>0</v>
      </c>
      <c r="K83" s="1000">
        <v>0</v>
      </c>
      <c r="L83" s="1000">
        <v>0</v>
      </c>
      <c r="M83" s="1000">
        <v>0</v>
      </c>
      <c r="N83"/>
    </row>
    <row r="84" spans="1:14">
      <c r="A84" s="999">
        <v>7</v>
      </c>
      <c r="B84" s="999" t="s">
        <v>1577</v>
      </c>
      <c r="C84" s="1000">
        <v>2742331.55</v>
      </c>
      <c r="D84" s="1000">
        <v>6594730.2300000004</v>
      </c>
      <c r="E84" s="1000">
        <v>3006506.67</v>
      </c>
      <c r="F84" s="1000">
        <v>0</v>
      </c>
      <c r="G84" s="1000">
        <v>1166705.1000000001</v>
      </c>
      <c r="H84" s="1000">
        <v>0</v>
      </c>
      <c r="I84" s="1000">
        <v>0</v>
      </c>
      <c r="J84" s="1000">
        <v>0</v>
      </c>
      <c r="K84" s="1000">
        <v>-480</v>
      </c>
      <c r="L84" s="1000">
        <v>0</v>
      </c>
      <c r="M84" s="1000">
        <v>13509793.550000001</v>
      </c>
      <c r="N84"/>
    </row>
    <row r="85" spans="1:14">
      <c r="A85" s="999">
        <v>8</v>
      </c>
      <c r="B85" s="999" t="s">
        <v>1578</v>
      </c>
      <c r="C85" s="1000">
        <v>0</v>
      </c>
      <c r="D85" s="1000">
        <v>0</v>
      </c>
      <c r="E85" s="1000">
        <v>-3062.6</v>
      </c>
      <c r="F85" s="1000">
        <v>0</v>
      </c>
      <c r="G85" s="1000">
        <v>0</v>
      </c>
      <c r="H85" s="1000">
        <v>0</v>
      </c>
      <c r="I85" s="1000">
        <v>0</v>
      </c>
      <c r="J85" s="1000">
        <v>0</v>
      </c>
      <c r="K85" s="1000">
        <v>0</v>
      </c>
      <c r="L85" s="1000">
        <v>0</v>
      </c>
      <c r="M85" s="1000">
        <v>-3062.6</v>
      </c>
      <c r="N85"/>
    </row>
    <row r="86" spans="1:14">
      <c r="A86" s="999">
        <v>9</v>
      </c>
      <c r="B86" s="999" t="s">
        <v>1579</v>
      </c>
      <c r="C86" s="1000">
        <v>0</v>
      </c>
      <c r="D86" s="1000">
        <v>0</v>
      </c>
      <c r="E86" s="1000">
        <v>0</v>
      </c>
      <c r="F86" s="1000">
        <v>0</v>
      </c>
      <c r="G86" s="1000">
        <v>0</v>
      </c>
      <c r="H86" s="1000">
        <v>0</v>
      </c>
      <c r="I86" s="1000">
        <v>0</v>
      </c>
      <c r="J86" s="1000">
        <v>0</v>
      </c>
      <c r="K86" s="1000">
        <v>0</v>
      </c>
      <c r="L86" s="1000">
        <v>0</v>
      </c>
      <c r="M86" s="1000">
        <v>0</v>
      </c>
      <c r="N86"/>
    </row>
    <row r="87" spans="1:14">
      <c r="A87" s="999">
        <v>8</v>
      </c>
      <c r="B87" s="999" t="s">
        <v>1580</v>
      </c>
      <c r="C87" s="1000">
        <v>279769.36</v>
      </c>
      <c r="D87" s="1000">
        <v>4644576.54</v>
      </c>
      <c r="E87" s="1000">
        <v>16577851.18</v>
      </c>
      <c r="F87" s="1000">
        <v>0</v>
      </c>
      <c r="G87" s="1000">
        <v>0</v>
      </c>
      <c r="H87" s="1000">
        <v>-2451.02</v>
      </c>
      <c r="I87" s="1000">
        <v>0</v>
      </c>
      <c r="J87" s="1000">
        <v>0</v>
      </c>
      <c r="K87" s="1000">
        <v>7363.86</v>
      </c>
      <c r="L87" s="1000">
        <v>43.76</v>
      </c>
      <c r="M87" s="1000">
        <v>21507153.68</v>
      </c>
      <c r="N87"/>
    </row>
    <row r="88" spans="1:14">
      <c r="A88" s="999">
        <v>9</v>
      </c>
      <c r="B88" s="999" t="s">
        <v>1581</v>
      </c>
      <c r="C88" s="1000">
        <v>24623.43</v>
      </c>
      <c r="D88" s="1000">
        <v>0.18</v>
      </c>
      <c r="E88" s="1000">
        <v>95692.6</v>
      </c>
      <c r="F88" s="1000">
        <v>0</v>
      </c>
      <c r="G88" s="1000">
        <v>0</v>
      </c>
      <c r="H88" s="1000">
        <v>0</v>
      </c>
      <c r="I88" s="1000">
        <v>0</v>
      </c>
      <c r="J88" s="1000">
        <v>0</v>
      </c>
      <c r="K88" s="1000">
        <v>0</v>
      </c>
      <c r="L88" s="1000">
        <v>0</v>
      </c>
      <c r="M88" s="1000">
        <v>120316.21</v>
      </c>
      <c r="N88"/>
    </row>
    <row r="89" spans="1:14">
      <c r="A89" s="999">
        <v>10</v>
      </c>
      <c r="B89" s="999" t="s">
        <v>1582</v>
      </c>
      <c r="C89" s="1000"/>
      <c r="D89" s="1000">
        <v>3254792.49</v>
      </c>
      <c r="E89" s="1000">
        <v>-398352.02</v>
      </c>
      <c r="F89" s="1000">
        <v>106705</v>
      </c>
      <c r="G89" s="1000"/>
      <c r="H89" s="1000"/>
      <c r="I89" s="1000"/>
      <c r="J89" s="1000"/>
      <c r="K89" s="1000">
        <v>0</v>
      </c>
      <c r="L89" s="1000">
        <v>0</v>
      </c>
      <c r="M89" s="1000">
        <v>2963145.47</v>
      </c>
      <c r="N89"/>
    </row>
    <row r="90" spans="1:14">
      <c r="A90" s="999">
        <v>11</v>
      </c>
      <c r="B90" s="999" t="s">
        <v>1602</v>
      </c>
      <c r="C90" s="1000">
        <v>-503431093.49000001</v>
      </c>
      <c r="D90" s="1000">
        <v>0</v>
      </c>
      <c r="E90" s="1000">
        <v>0</v>
      </c>
      <c r="F90" s="1000">
        <v>0</v>
      </c>
      <c r="G90" s="1000">
        <v>0</v>
      </c>
      <c r="H90" s="1000">
        <v>0</v>
      </c>
      <c r="I90" s="1000">
        <v>0</v>
      </c>
      <c r="J90" s="1000">
        <v>0</v>
      </c>
      <c r="K90" s="1000">
        <v>0</v>
      </c>
      <c r="L90" s="1000">
        <v>0</v>
      </c>
      <c r="M90" s="1000">
        <v>-503431093.49000001</v>
      </c>
      <c r="N90"/>
    </row>
    <row r="91" spans="1:14">
      <c r="A91" s="999">
        <v>14</v>
      </c>
      <c r="B91" s="999" t="s">
        <v>1583</v>
      </c>
      <c r="C91" s="1000">
        <v>0</v>
      </c>
      <c r="D91" s="1000">
        <v>958434441.88999999</v>
      </c>
      <c r="E91" s="1000">
        <v>-9415020.2400000002</v>
      </c>
      <c r="F91" s="1000">
        <v>0</v>
      </c>
      <c r="G91" s="1000">
        <v>105184370.48</v>
      </c>
      <c r="H91" s="1000">
        <v>309975017.23000002</v>
      </c>
      <c r="I91" s="1000">
        <v>0</v>
      </c>
      <c r="J91" s="1000">
        <v>3861178.91</v>
      </c>
      <c r="K91" s="1000">
        <v>0</v>
      </c>
      <c r="L91" s="1000">
        <v>339666.73</v>
      </c>
      <c r="M91" s="1000">
        <v>1522909660.8599999</v>
      </c>
      <c r="N91"/>
    </row>
    <row r="92" spans="1:14">
      <c r="A92" s="999">
        <v>13</v>
      </c>
      <c r="B92" s="999" t="s">
        <v>1595</v>
      </c>
      <c r="C92" s="1000">
        <v>0</v>
      </c>
      <c r="D92" s="1000">
        <v>4644576.72</v>
      </c>
      <c r="E92" s="1000">
        <v>16673543.779999999</v>
      </c>
      <c r="F92" s="1000">
        <v>0</v>
      </c>
      <c r="G92" s="1000">
        <v>0</v>
      </c>
      <c r="H92" s="1000">
        <v>-2451.02</v>
      </c>
      <c r="I92" s="1000">
        <v>0</v>
      </c>
      <c r="J92" s="1000">
        <v>0</v>
      </c>
      <c r="K92" s="1000">
        <v>7363.86</v>
      </c>
      <c r="L92" s="1000">
        <v>43.76</v>
      </c>
      <c r="M92" s="1000">
        <v>21323077.100000001</v>
      </c>
      <c r="N92"/>
    </row>
    <row r="93" spans="1:14">
      <c r="A93" s="999">
        <v>14</v>
      </c>
      <c r="B93" s="999" t="s">
        <v>1585</v>
      </c>
      <c r="C93" s="1000">
        <v>0</v>
      </c>
      <c r="D93" s="1000">
        <v>3254792.49</v>
      </c>
      <c r="E93" s="1000">
        <v>-398352.02</v>
      </c>
      <c r="F93" s="1000">
        <v>106705</v>
      </c>
      <c r="G93" s="1000">
        <v>0</v>
      </c>
      <c r="H93" s="1000">
        <v>0</v>
      </c>
      <c r="I93" s="1000">
        <v>0</v>
      </c>
      <c r="J93" s="1000">
        <v>0</v>
      </c>
      <c r="K93" s="1000">
        <v>0</v>
      </c>
      <c r="L93" s="1000">
        <v>0</v>
      </c>
      <c r="M93" s="1000">
        <v>2963145.47</v>
      </c>
      <c r="N93"/>
    </row>
    <row r="94" spans="1:14">
      <c r="A94" s="999">
        <v>15</v>
      </c>
      <c r="B94" s="999" t="s">
        <v>1586</v>
      </c>
      <c r="C94" s="1000">
        <v>0</v>
      </c>
      <c r="D94" s="1000">
        <v>966333811.10000002</v>
      </c>
      <c r="E94" s="1000">
        <v>6860171.5199999996</v>
      </c>
      <c r="F94" s="1000">
        <v>106705</v>
      </c>
      <c r="G94" s="1000">
        <v>105184370.48</v>
      </c>
      <c r="H94" s="1000">
        <v>309972566.20999998</v>
      </c>
      <c r="I94" s="1000">
        <v>14565.86</v>
      </c>
      <c r="J94" s="1000">
        <v>3861178.91</v>
      </c>
      <c r="K94" s="1000">
        <v>7363.86</v>
      </c>
      <c r="L94" s="1000">
        <v>339710.49</v>
      </c>
      <c r="M94" s="1000">
        <v>1547195883.4300001</v>
      </c>
      <c r="N94"/>
    </row>
    <row r="95" spans="1:14" ht="28.5" customHeight="1">
      <c r="A95" s="1120" t="s">
        <v>1562</v>
      </c>
      <c r="B95" s="1120"/>
      <c r="C95" s="1120"/>
      <c r="D95" s="1120"/>
      <c r="E95" s="1120"/>
      <c r="F95" s="1120"/>
      <c r="G95" s="1120"/>
      <c r="H95" s="1120"/>
      <c r="I95" s="1120"/>
      <c r="J95" s="1120"/>
      <c r="K95" s="1120"/>
      <c r="L95" s="1120"/>
      <c r="M95" s="1120"/>
      <c r="N95" s="1120"/>
    </row>
  </sheetData>
  <mergeCells count="33">
    <mergeCell ref="A29:N29"/>
    <mergeCell ref="A1:N1"/>
    <mergeCell ref="A3:N3"/>
    <mergeCell ref="A4:D4"/>
    <mergeCell ref="E4:H4"/>
    <mergeCell ref="I4:K4"/>
    <mergeCell ref="A5:C5"/>
    <mergeCell ref="D5:E5"/>
    <mergeCell ref="F5:H5"/>
    <mergeCell ref="I5:K5"/>
    <mergeCell ref="A6:N6"/>
    <mergeCell ref="A8:N8"/>
    <mergeCell ref="A25:N25"/>
    <mergeCell ref="A26:N26"/>
    <mergeCell ref="A27:N27"/>
    <mergeCell ref="A54:N54"/>
    <mergeCell ref="A46:N46"/>
    <mergeCell ref="A47:N47"/>
    <mergeCell ref="A48:N48"/>
    <mergeCell ref="A49:N49"/>
    <mergeCell ref="A50:D50"/>
    <mergeCell ref="E50:H50"/>
    <mergeCell ref="I50:K50"/>
    <mergeCell ref="A51:B51"/>
    <mergeCell ref="C51:E51"/>
    <mergeCell ref="F51:H51"/>
    <mergeCell ref="I51:K51"/>
    <mergeCell ref="A52:N52"/>
    <mergeCell ref="A72:N72"/>
    <mergeCell ref="A73:N73"/>
    <mergeCell ref="A74:N74"/>
    <mergeCell ref="A77:N77"/>
    <mergeCell ref="A95:N9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12"/>
  <sheetViews>
    <sheetView zoomScale="70" zoomScaleNormal="70" workbookViewId="0">
      <selection activeCell="K34" sqref="K34"/>
    </sheetView>
  </sheetViews>
  <sheetFormatPr defaultRowHeight="15"/>
  <cols>
    <col min="1" max="1" width="9.28515625" style="981" bestFit="1" customWidth="1"/>
    <col min="2" max="2" width="22.140625" style="981" customWidth="1"/>
    <col min="3" max="3" width="24.28515625" style="981" bestFit="1" customWidth="1"/>
    <col min="4" max="4" width="13.7109375" style="981" bestFit="1" customWidth="1"/>
    <col min="5" max="8" width="12.42578125" style="981" bestFit="1" customWidth="1"/>
    <col min="9" max="9" width="12" style="981" bestFit="1" customWidth="1"/>
    <col min="10" max="11" width="13.7109375" style="981" bestFit="1" customWidth="1"/>
    <col min="12" max="12" width="12" style="981" bestFit="1" customWidth="1"/>
    <col min="13" max="14" width="9.140625" style="981"/>
    <col min="15" max="15" width="18" style="981" bestFit="1" customWidth="1"/>
    <col min="16" max="16" width="11" style="981" bestFit="1" customWidth="1"/>
    <col min="17" max="17" width="11.7109375" style="981" bestFit="1" customWidth="1"/>
    <col min="18" max="18" width="18" style="981" bestFit="1" customWidth="1"/>
    <col min="19" max="16384" width="9.140625" style="981"/>
  </cols>
  <sheetData>
    <row r="1" spans="1:15">
      <c r="A1" s="1129"/>
      <c r="B1" s="1129"/>
      <c r="C1" s="1129"/>
      <c r="D1" s="1129"/>
      <c r="E1" s="1129"/>
      <c r="F1"/>
      <c r="G1"/>
      <c r="H1"/>
      <c r="I1"/>
      <c r="J1"/>
      <c r="K1"/>
      <c r="L1"/>
      <c r="M1"/>
      <c r="N1"/>
      <c r="O1"/>
    </row>
    <row r="2" spans="1:15" ht="15" customHeight="1">
      <c r="A2" s="1130" t="s">
        <v>1046</v>
      </c>
      <c r="B2" s="1130"/>
      <c r="C2" s="1130"/>
      <c r="D2" s="1130"/>
      <c r="E2" s="1130"/>
      <c r="F2" s="1130"/>
      <c r="G2" s="1130"/>
      <c r="H2" s="1130"/>
      <c r="I2" s="1130"/>
      <c r="J2" s="1130"/>
      <c r="K2" s="1130"/>
      <c r="L2"/>
      <c r="M2"/>
      <c r="N2"/>
      <c r="O2"/>
    </row>
    <row r="3" spans="1:15">
      <c r="A3"/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>
      <c r="A4" s="1130" t="s">
        <v>1707</v>
      </c>
      <c r="B4" s="1130"/>
      <c r="C4" s="1130"/>
      <c r="D4" s="1130"/>
      <c r="E4" s="1130"/>
      <c r="F4" s="1130"/>
      <c r="G4" s="1130"/>
      <c r="H4" s="1130"/>
      <c r="I4" s="1130"/>
      <c r="J4" s="1130"/>
      <c r="K4" s="1130"/>
      <c r="L4"/>
      <c r="M4"/>
      <c r="N4"/>
      <c r="O4"/>
    </row>
    <row r="5" spans="1:15" ht="15" customHeight="1">
      <c r="A5" s="1127" t="s">
        <v>1665</v>
      </c>
      <c r="B5" s="1127"/>
      <c r="C5" s="1127"/>
      <c r="D5" s="1127"/>
      <c r="E5" s="1127" t="s">
        <v>1666</v>
      </c>
      <c r="F5" s="1127"/>
      <c r="G5" s="1127"/>
      <c r="H5" s="1127"/>
      <c r="I5" s="1128" t="s">
        <v>1708</v>
      </c>
      <c r="J5" s="1128"/>
      <c r="K5" s="1128"/>
      <c r="L5"/>
      <c r="M5"/>
      <c r="N5"/>
      <c r="O5"/>
    </row>
    <row r="6" spans="1:15" ht="15" customHeight="1">
      <c r="A6" s="1127" t="s">
        <v>1668</v>
      </c>
      <c r="B6" s="1127"/>
      <c r="C6" s="1127"/>
      <c r="D6" s="1127"/>
      <c r="E6" s="1127" t="s">
        <v>1669</v>
      </c>
      <c r="F6" s="1127"/>
      <c r="G6" s="1127"/>
      <c r="H6" s="1127"/>
      <c r="I6" s="1127"/>
      <c r="J6" s="1128" t="s">
        <v>1670</v>
      </c>
      <c r="K6" s="1128"/>
      <c r="L6" s="1128"/>
      <c r="M6"/>
      <c r="N6"/>
      <c r="O6"/>
    </row>
    <row r="7" spans="1:15" ht="27" customHeight="1">
      <c r="A7" s="1120"/>
      <c r="B7" s="1120"/>
      <c r="C7" s="1120"/>
      <c r="D7" s="1120"/>
      <c r="E7" s="1120"/>
      <c r="F7" s="1120"/>
      <c r="G7" s="1120"/>
      <c r="H7" s="1120"/>
      <c r="I7" s="1120"/>
      <c r="J7" s="1120"/>
      <c r="K7" s="1120"/>
      <c r="L7"/>
      <c r="M7"/>
      <c r="N7"/>
      <c r="O7"/>
    </row>
    <row r="8" spans="1:15" ht="27" customHeight="1">
      <c r="A8" s="1126" t="s">
        <v>1671</v>
      </c>
      <c r="B8" s="1126"/>
      <c r="C8" s="1126"/>
      <c r="D8" s="1126"/>
      <c r="E8" s="1126"/>
      <c r="F8" s="1126"/>
      <c r="G8" s="1126"/>
      <c r="H8" s="1126"/>
      <c r="I8" s="1126"/>
      <c r="J8" s="1126"/>
      <c r="K8" s="1126"/>
      <c r="L8" s="1126"/>
      <c r="M8" s="1126"/>
      <c r="N8" s="1126"/>
      <c r="O8" s="1126"/>
    </row>
    <row r="9" spans="1:15" ht="27">
      <c r="A9" s="1040" t="s">
        <v>1633</v>
      </c>
      <c r="B9" s="1040" t="s">
        <v>1118</v>
      </c>
      <c r="C9" s="1001" t="s">
        <v>1634</v>
      </c>
      <c r="D9" s="1001" t="s">
        <v>1622</v>
      </c>
      <c r="E9" s="1001" t="s">
        <v>1635</v>
      </c>
      <c r="F9" s="1001" t="s">
        <v>1636</v>
      </c>
      <c r="G9" s="1001" t="s">
        <v>1637</v>
      </c>
      <c r="H9" s="1001" t="s">
        <v>1638</v>
      </c>
      <c r="I9" s="1001" t="s">
        <v>1639</v>
      </c>
      <c r="J9" s="1001" t="s">
        <v>1640</v>
      </c>
      <c r="K9" s="1001" t="s">
        <v>1623</v>
      </c>
      <c r="L9" s="1001"/>
      <c r="M9"/>
      <c r="N9"/>
      <c r="O9"/>
    </row>
    <row r="10" spans="1:15" ht="27" customHeight="1">
      <c r="A10" s="1001"/>
      <c r="B10" s="1001"/>
      <c r="C10" s="1001" t="s">
        <v>1641</v>
      </c>
      <c r="D10" s="1001" t="s">
        <v>1642</v>
      </c>
      <c r="E10" s="1001" t="s">
        <v>1643</v>
      </c>
      <c r="F10" s="1001" t="s">
        <v>1644</v>
      </c>
      <c r="G10" s="1001" t="s">
        <v>1645</v>
      </c>
      <c r="H10" s="1001" t="s">
        <v>1646</v>
      </c>
      <c r="I10" s="1001" t="s">
        <v>1647</v>
      </c>
      <c r="J10" s="1001" t="s">
        <v>1648</v>
      </c>
      <c r="K10" s="1001" t="s">
        <v>1649</v>
      </c>
      <c r="L10" s="1001"/>
      <c r="M10"/>
      <c r="N10"/>
      <c r="O10"/>
    </row>
    <row r="11" spans="1:15" ht="27" customHeight="1">
      <c r="A11" s="1126" t="s">
        <v>1671</v>
      </c>
      <c r="B11" s="1126"/>
      <c r="C11" s="1126"/>
      <c r="D11" s="1126"/>
      <c r="E11" s="1126"/>
      <c r="F11" s="1126"/>
      <c r="G11" s="1126"/>
      <c r="H11" s="1126"/>
      <c r="I11" s="1126"/>
      <c r="J11" s="1126"/>
      <c r="K11" s="1126"/>
      <c r="L11" s="1126"/>
      <c r="M11" s="1126"/>
      <c r="N11" s="1126"/>
      <c r="O11" s="1126"/>
    </row>
    <row r="12" spans="1:15">
      <c r="A12" s="1040">
        <v>1</v>
      </c>
      <c r="B12" s="1039" t="s">
        <v>1624</v>
      </c>
      <c r="C12" s="1001">
        <v>6052</v>
      </c>
      <c r="D12" s="1001">
        <v>5042596922</v>
      </c>
      <c r="E12" s="1001">
        <v>0</v>
      </c>
      <c r="F12" s="1001">
        <v>5103727375.4099998</v>
      </c>
      <c r="G12" s="1001">
        <v>0</v>
      </c>
      <c r="H12" s="1001">
        <v>0</v>
      </c>
      <c r="I12" s="1001">
        <v>165015924.96000001</v>
      </c>
      <c r="J12" s="1001">
        <v>0</v>
      </c>
      <c r="K12" s="1001">
        <v>46766008560</v>
      </c>
      <c r="L12" s="1001"/>
      <c r="M12"/>
      <c r="N12"/>
      <c r="O12"/>
    </row>
    <row r="13" spans="1:15">
      <c r="A13" s="1035"/>
      <c r="B13" s="1035"/>
      <c r="C13" s="1001">
        <v>42846640796.419998</v>
      </c>
      <c r="D13" s="1001">
        <v>0</v>
      </c>
      <c r="E13" s="1001">
        <v>0</v>
      </c>
      <c r="F13" s="1001">
        <v>132789292.84999999</v>
      </c>
      <c r="G13" s="1001">
        <v>0</v>
      </c>
      <c r="H13" s="1001">
        <v>0</v>
      </c>
      <c r="I13" s="1001">
        <v>5187261.12</v>
      </c>
      <c r="J13" s="1001">
        <v>167793720.61000001</v>
      </c>
      <c r="K13" s="1001">
        <v>48421154371.370003</v>
      </c>
      <c r="L13" s="1001"/>
      <c r="M13"/>
      <c r="N13"/>
      <c r="O13"/>
    </row>
    <row r="14" spans="1:15">
      <c r="A14" s="1040">
        <v>2</v>
      </c>
      <c r="B14" s="1039" t="s">
        <v>1625</v>
      </c>
      <c r="C14" s="1001">
        <v>3</v>
      </c>
      <c r="D14" s="1001">
        <v>4710172</v>
      </c>
      <c r="E14" s="1001">
        <v>0</v>
      </c>
      <c r="F14" s="1001">
        <v>2111220.42</v>
      </c>
      <c r="G14" s="1001">
        <v>0</v>
      </c>
      <c r="H14" s="1001">
        <v>0</v>
      </c>
      <c r="I14" s="1001">
        <v>0</v>
      </c>
      <c r="J14" s="1001">
        <v>0</v>
      </c>
      <c r="K14" s="1001">
        <v>42812068.170000002</v>
      </c>
      <c r="L14" s="1001"/>
      <c r="M14"/>
      <c r="N14"/>
      <c r="O14"/>
    </row>
    <row r="15" spans="1:15">
      <c r="A15" s="1035"/>
      <c r="B15" s="1035"/>
      <c r="C15" s="1001">
        <v>42006441.159999996</v>
      </c>
      <c r="D15" s="1001">
        <v>0</v>
      </c>
      <c r="E15" s="1001">
        <v>0</v>
      </c>
      <c r="F15" s="1001">
        <v>0</v>
      </c>
      <c r="G15" s="1001">
        <v>0</v>
      </c>
      <c r="H15" s="1001">
        <v>0</v>
      </c>
      <c r="I15" s="1001">
        <v>0</v>
      </c>
      <c r="J15" s="1001">
        <v>0</v>
      </c>
      <c r="K15" s="1001">
        <v>44117661.579999998</v>
      </c>
      <c r="L15" s="1001"/>
      <c r="M15"/>
      <c r="N15"/>
      <c r="O15"/>
    </row>
    <row r="16" spans="1:15">
      <c r="A16" s="1040">
        <v>3</v>
      </c>
      <c r="B16" s="1039" t="s">
        <v>1626</v>
      </c>
      <c r="C16" s="1001">
        <v>18</v>
      </c>
      <c r="D16" s="1001">
        <v>8933368</v>
      </c>
      <c r="E16" s="1001">
        <v>0</v>
      </c>
      <c r="F16" s="1001">
        <v>0</v>
      </c>
      <c r="G16" s="1001">
        <v>0</v>
      </c>
      <c r="H16" s="1001">
        <v>0</v>
      </c>
      <c r="I16" s="1001">
        <v>45261.52</v>
      </c>
      <c r="J16" s="1001">
        <v>0</v>
      </c>
      <c r="K16" s="1001">
        <v>8376818.1900000004</v>
      </c>
      <c r="L16" s="1001"/>
      <c r="M16"/>
      <c r="N16"/>
      <c r="O16"/>
    </row>
    <row r="17" spans="1:15">
      <c r="A17" s="1035"/>
      <c r="B17" s="1035"/>
      <c r="C17" s="1001">
        <v>8376818.1900000004</v>
      </c>
      <c r="D17" s="1001">
        <v>0</v>
      </c>
      <c r="E17" s="1001">
        <v>0</v>
      </c>
      <c r="F17" s="1001">
        <v>0</v>
      </c>
      <c r="G17" s="1001">
        <v>0</v>
      </c>
      <c r="H17" s="1001">
        <v>0</v>
      </c>
      <c r="I17" s="1001">
        <v>0</v>
      </c>
      <c r="J17" s="1001">
        <v>0</v>
      </c>
      <c r="K17" s="1001">
        <v>8422079.7100000009</v>
      </c>
      <c r="L17" s="1001"/>
      <c r="M17"/>
      <c r="N17"/>
      <c r="O17"/>
    </row>
    <row r="18" spans="1:15">
      <c r="A18" s="1040">
        <v>4</v>
      </c>
      <c r="B18" s="1039" t="s">
        <v>1627</v>
      </c>
      <c r="C18" s="1001">
        <v>0</v>
      </c>
      <c r="D18" s="1001">
        <v>0</v>
      </c>
      <c r="E18" s="1001">
        <v>0</v>
      </c>
      <c r="F18" s="1001">
        <v>0</v>
      </c>
      <c r="G18" s="1001">
        <v>0</v>
      </c>
      <c r="H18" s="1001">
        <v>0</v>
      </c>
      <c r="I18" s="1001">
        <v>2.09</v>
      </c>
      <c r="J18" s="1001">
        <v>0</v>
      </c>
      <c r="K18" s="1001">
        <v>5920000</v>
      </c>
      <c r="L18" s="1001"/>
      <c r="M18"/>
      <c r="N18"/>
      <c r="O18"/>
    </row>
    <row r="19" spans="1:15">
      <c r="A19" s="1035"/>
      <c r="B19" s="1035"/>
      <c r="C19" s="1001">
        <v>27319236.420000002</v>
      </c>
      <c r="D19" s="1001">
        <v>0</v>
      </c>
      <c r="E19" s="1001">
        <v>0</v>
      </c>
      <c r="F19" s="1001">
        <v>0</v>
      </c>
      <c r="G19" s="1001">
        <v>0</v>
      </c>
      <c r="H19" s="1001">
        <v>0</v>
      </c>
      <c r="I19" s="1001">
        <v>0</v>
      </c>
      <c r="J19" s="1001">
        <v>0</v>
      </c>
      <c r="K19" s="1001">
        <v>27319238.510000002</v>
      </c>
      <c r="L19" s="1001"/>
      <c r="M19"/>
      <c r="N19"/>
      <c r="O19"/>
    </row>
    <row r="20" spans="1:15">
      <c r="A20" s="1040">
        <v>5</v>
      </c>
      <c r="B20" s="1039" t="s">
        <v>1628</v>
      </c>
      <c r="C20" s="1001">
        <v>0</v>
      </c>
      <c r="D20" s="1001">
        <v>0</v>
      </c>
      <c r="E20" s="1001">
        <v>0</v>
      </c>
      <c r="F20" s="1001">
        <v>0</v>
      </c>
      <c r="G20" s="1001">
        <v>0</v>
      </c>
      <c r="H20" s="1001">
        <v>0</v>
      </c>
      <c r="I20" s="1001">
        <v>0</v>
      </c>
      <c r="J20" s="1001">
        <v>0</v>
      </c>
      <c r="K20" s="1001">
        <v>0</v>
      </c>
      <c r="L20" s="1001"/>
      <c r="M20"/>
      <c r="N20"/>
      <c r="O20"/>
    </row>
    <row r="21" spans="1:15">
      <c r="A21" s="1035"/>
      <c r="B21" s="1035"/>
      <c r="C21" s="1001">
        <v>0</v>
      </c>
      <c r="D21" s="1001">
        <v>0</v>
      </c>
      <c r="E21" s="1001">
        <v>0</v>
      </c>
      <c r="F21" s="1001">
        <v>0</v>
      </c>
      <c r="G21" s="1001">
        <v>0</v>
      </c>
      <c r="H21" s="1001">
        <v>0</v>
      </c>
      <c r="I21" s="1001">
        <v>0</v>
      </c>
      <c r="J21" s="1001">
        <v>0</v>
      </c>
      <c r="K21" s="1001">
        <v>0</v>
      </c>
      <c r="L21" s="1001"/>
      <c r="M21"/>
      <c r="N21"/>
      <c r="O21"/>
    </row>
    <row r="22" spans="1:15">
      <c r="A22" s="1040">
        <v>6</v>
      </c>
      <c r="B22" s="1039" t="s">
        <v>1629</v>
      </c>
      <c r="C22" s="1001">
        <v>0</v>
      </c>
      <c r="D22" s="1001">
        <v>0</v>
      </c>
      <c r="E22" s="1001">
        <v>0</v>
      </c>
      <c r="F22" s="1001">
        <v>0</v>
      </c>
      <c r="G22" s="1001">
        <v>0</v>
      </c>
      <c r="H22" s="1001">
        <v>0</v>
      </c>
      <c r="I22" s="1001">
        <v>0</v>
      </c>
      <c r="J22" s="1001">
        <v>0</v>
      </c>
      <c r="K22" s="1001">
        <v>0</v>
      </c>
      <c r="L22" s="1001"/>
      <c r="M22"/>
      <c r="N22"/>
      <c r="O22"/>
    </row>
    <row r="23" spans="1:15">
      <c r="A23" s="1035"/>
      <c r="B23" s="1035"/>
      <c r="C23" s="1001">
        <v>0</v>
      </c>
      <c r="D23" s="1001">
        <v>0</v>
      </c>
      <c r="E23" s="1001">
        <v>0</v>
      </c>
      <c r="F23" s="1001">
        <v>0</v>
      </c>
      <c r="G23" s="1001">
        <v>0</v>
      </c>
      <c r="H23" s="1001">
        <v>0</v>
      </c>
      <c r="I23" s="1001">
        <v>0</v>
      </c>
      <c r="J23" s="1001">
        <v>0</v>
      </c>
      <c r="K23" s="1001">
        <v>0</v>
      </c>
      <c r="L23" s="1001"/>
      <c r="M23"/>
      <c r="N23"/>
      <c r="O23"/>
    </row>
    <row r="24" spans="1:15">
      <c r="A24" s="1040">
        <v>7</v>
      </c>
      <c r="B24" s="1039" t="s">
        <v>1630</v>
      </c>
      <c r="C24" s="1001">
        <v>0</v>
      </c>
      <c r="D24" s="1001">
        <v>0</v>
      </c>
      <c r="E24" s="1001">
        <v>0</v>
      </c>
      <c r="F24" s="1001">
        <v>0</v>
      </c>
      <c r="G24" s="1001">
        <v>0</v>
      </c>
      <c r="H24" s="1001">
        <v>0</v>
      </c>
      <c r="I24" s="1001">
        <v>0</v>
      </c>
      <c r="J24" s="1001">
        <v>0</v>
      </c>
      <c r="K24" s="1001">
        <v>0</v>
      </c>
      <c r="L24" s="1001"/>
      <c r="M24"/>
      <c r="N24"/>
      <c r="O24"/>
    </row>
    <row r="25" spans="1:15">
      <c r="A25" s="1035"/>
      <c r="B25" s="1035"/>
      <c r="C25" s="1001">
        <v>0</v>
      </c>
      <c r="D25" s="1001">
        <v>0</v>
      </c>
      <c r="E25" s="1001">
        <v>0</v>
      </c>
      <c r="F25" s="1001">
        <v>0</v>
      </c>
      <c r="G25" s="1001">
        <v>0</v>
      </c>
      <c r="H25" s="1001">
        <v>0</v>
      </c>
      <c r="I25" s="1001">
        <v>0</v>
      </c>
      <c r="J25" s="1001">
        <v>0</v>
      </c>
      <c r="K25" s="1001">
        <v>0</v>
      </c>
      <c r="L25" s="1001"/>
      <c r="M25"/>
      <c r="N25"/>
      <c r="O25"/>
    </row>
    <row r="26" spans="1:15">
      <c r="A26" s="1040">
        <v>8</v>
      </c>
      <c r="B26" s="1039" t="s">
        <v>1129</v>
      </c>
      <c r="C26" s="1001">
        <v>1749</v>
      </c>
      <c r="D26" s="1001">
        <v>0</v>
      </c>
      <c r="E26" s="1001">
        <v>0</v>
      </c>
      <c r="F26" s="1001">
        <v>0</v>
      </c>
      <c r="G26" s="1001">
        <v>0</v>
      </c>
      <c r="H26" s="1001">
        <v>0</v>
      </c>
      <c r="I26" s="1001">
        <v>2350731.4900000002</v>
      </c>
      <c r="J26" s="1001">
        <v>0</v>
      </c>
      <c r="K26" s="1001">
        <v>0</v>
      </c>
      <c r="L26" s="1001"/>
      <c r="M26"/>
      <c r="N26"/>
      <c r="O26"/>
    </row>
    <row r="27" spans="1:15">
      <c r="A27" s="1035"/>
      <c r="B27" s="1035"/>
      <c r="C27" s="1001">
        <v>1324603970.29</v>
      </c>
      <c r="D27" s="1001">
        <v>0</v>
      </c>
      <c r="E27" s="1001">
        <v>0</v>
      </c>
      <c r="F27" s="1001">
        <v>455339.48</v>
      </c>
      <c r="G27" s="1001">
        <v>0</v>
      </c>
      <c r="H27" s="1001">
        <v>0</v>
      </c>
      <c r="I27" s="1001">
        <v>1388076.33</v>
      </c>
      <c r="J27" s="1001">
        <v>152537.60000000001</v>
      </c>
      <c r="K27" s="1001">
        <v>1328950655.1900001</v>
      </c>
      <c r="L27" s="1001"/>
      <c r="M27"/>
      <c r="N27"/>
      <c r="O27"/>
    </row>
    <row r="28" spans="1:15">
      <c r="A28" s="1040">
        <v>9</v>
      </c>
      <c r="B28" s="1039" t="s">
        <v>1581</v>
      </c>
      <c r="C28" s="1001">
        <v>56</v>
      </c>
      <c r="D28" s="1001">
        <v>11108</v>
      </c>
      <c r="E28" s="1001">
        <v>0</v>
      </c>
      <c r="F28" s="1001">
        <v>8961.92</v>
      </c>
      <c r="G28" s="1001">
        <v>0</v>
      </c>
      <c r="H28" s="1001">
        <v>0</v>
      </c>
      <c r="I28" s="1001">
        <v>1383813.91</v>
      </c>
      <c r="J28" s="1001">
        <v>0</v>
      </c>
      <c r="K28" s="1001">
        <v>27732167.059999999</v>
      </c>
      <c r="L28" s="1001"/>
      <c r="M28"/>
      <c r="N28"/>
      <c r="O28"/>
    </row>
    <row r="29" spans="1:15">
      <c r="A29" s="1035"/>
      <c r="B29" s="1035"/>
      <c r="C29" s="1001">
        <v>37142997.009999998</v>
      </c>
      <c r="D29" s="1001">
        <v>0</v>
      </c>
      <c r="E29" s="1001">
        <v>0</v>
      </c>
      <c r="F29" s="1001">
        <v>587817.91</v>
      </c>
      <c r="G29" s="1001">
        <v>0</v>
      </c>
      <c r="H29" s="1001">
        <v>0</v>
      </c>
      <c r="I29" s="1001">
        <v>145349</v>
      </c>
      <c r="J29" s="1001">
        <v>0</v>
      </c>
      <c r="K29" s="1001">
        <v>39268939.75</v>
      </c>
      <c r="L29" s="1001"/>
      <c r="M29"/>
      <c r="N29"/>
      <c r="O29"/>
    </row>
    <row r="30" spans="1:15">
      <c r="A30" s="1040">
        <v>10</v>
      </c>
      <c r="B30" s="1039" t="s">
        <v>1631</v>
      </c>
      <c r="C30" s="1001">
        <v>69</v>
      </c>
      <c r="D30" s="1001">
        <v>14715592</v>
      </c>
      <c r="E30" s="1001">
        <v>0</v>
      </c>
      <c r="F30" s="1001">
        <v>246779.59</v>
      </c>
      <c r="G30" s="1001">
        <v>0</v>
      </c>
      <c r="H30" s="1001">
        <v>0</v>
      </c>
      <c r="I30" s="1001">
        <v>20333095.539999999</v>
      </c>
      <c r="J30" s="1001">
        <v>0</v>
      </c>
      <c r="K30" s="1001">
        <v>125044320.40000001</v>
      </c>
      <c r="L30" s="1001"/>
      <c r="M30"/>
      <c r="N30"/>
      <c r="O30"/>
    </row>
    <row r="31" spans="1:15" ht="27" customHeight="1">
      <c r="A31" s="1035"/>
      <c r="B31" s="1035"/>
      <c r="C31" s="1001">
        <v>128061048.3</v>
      </c>
      <c r="D31" s="1001">
        <v>0</v>
      </c>
      <c r="E31" s="1001">
        <v>0</v>
      </c>
      <c r="F31" s="1001">
        <v>0</v>
      </c>
      <c r="G31" s="1001">
        <v>0</v>
      </c>
      <c r="H31" s="1001">
        <v>0</v>
      </c>
      <c r="I31" s="1001">
        <v>5060.79</v>
      </c>
      <c r="J31" s="1001">
        <v>88830</v>
      </c>
      <c r="K31" s="1001">
        <v>148734814.22</v>
      </c>
      <c r="L31" s="1001"/>
      <c r="M31"/>
      <c r="N31"/>
      <c r="O31"/>
    </row>
    <row r="32" spans="1:15" ht="27" customHeight="1">
      <c r="A32" s="1126" t="s">
        <v>1671</v>
      </c>
      <c r="B32" s="1126"/>
      <c r="C32" s="1126"/>
      <c r="D32" s="1126"/>
      <c r="E32" s="1126"/>
      <c r="F32" s="1126"/>
      <c r="G32" s="1126"/>
      <c r="H32" s="1126"/>
      <c r="I32" s="1126"/>
      <c r="J32" s="1126"/>
      <c r="K32" s="1126"/>
      <c r="L32" s="1126"/>
      <c r="M32" s="1126"/>
      <c r="N32"/>
      <c r="O32"/>
    </row>
    <row r="33" spans="1:17" ht="15" customHeight="1">
      <c r="A33" s="1131" t="s">
        <v>1632</v>
      </c>
      <c r="B33" s="1131"/>
      <c r="C33" s="1001">
        <v>7947</v>
      </c>
      <c r="D33" s="1001">
        <v>5070967162</v>
      </c>
      <c r="E33" s="1001">
        <v>0</v>
      </c>
      <c r="F33" s="1001">
        <v>5106094337.3400002</v>
      </c>
      <c r="G33" s="1001">
        <v>0</v>
      </c>
      <c r="H33" s="1001">
        <v>0</v>
      </c>
      <c r="I33" s="1001">
        <v>189128829.50999999</v>
      </c>
      <c r="J33" s="1001">
        <v>0</v>
      </c>
      <c r="K33" s="1001">
        <v>46975893933.82</v>
      </c>
      <c r="L33" s="1001"/>
      <c r="M33"/>
      <c r="N33"/>
      <c r="O33"/>
    </row>
    <row r="34" spans="1:17" ht="27" customHeight="1">
      <c r="A34" s="1001"/>
      <c r="B34" s="1001"/>
      <c r="C34" s="1001">
        <v>44414151307.790001</v>
      </c>
      <c r="D34" s="1001">
        <v>0</v>
      </c>
      <c r="E34" s="1001">
        <v>0</v>
      </c>
      <c r="F34" s="1001">
        <v>133832450.23999999</v>
      </c>
      <c r="G34" s="1001">
        <v>0</v>
      </c>
      <c r="H34" s="1001">
        <v>0</v>
      </c>
      <c r="I34" s="1001">
        <v>6725747.2400000002</v>
      </c>
      <c r="J34" s="1001">
        <v>168035088.21000001</v>
      </c>
      <c r="K34" s="1001">
        <v>50017967760.330002</v>
      </c>
      <c r="L34" s="1001"/>
      <c r="M34"/>
      <c r="N34"/>
      <c r="O34"/>
    </row>
    <row r="35" spans="1:17" ht="27" customHeight="1">
      <c r="A35" s="1126" t="s">
        <v>1671</v>
      </c>
      <c r="B35" s="1126"/>
      <c r="C35" s="1126"/>
      <c r="D35" s="1126"/>
      <c r="E35" s="1126"/>
      <c r="F35" s="1126"/>
      <c r="G35" s="1126"/>
      <c r="H35" s="1126"/>
      <c r="I35" s="1126"/>
      <c r="J35" s="1126"/>
      <c r="K35" s="1126"/>
      <c r="L35" s="1126"/>
      <c r="M35" s="1126"/>
      <c r="N35"/>
      <c r="O35"/>
    </row>
    <row r="36" spans="1:17" ht="1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7" ht="15" customHeight="1">
      <c r="A37" s="1130" t="s">
        <v>1650</v>
      </c>
      <c r="B37" s="1130"/>
      <c r="C37" s="1130"/>
      <c r="D37" s="1130"/>
      <c r="E37" s="1130"/>
      <c r="F37"/>
      <c r="G37"/>
      <c r="H37"/>
      <c r="I37"/>
      <c r="J37"/>
      <c r="K37"/>
      <c r="L37"/>
      <c r="M37"/>
      <c r="N37"/>
      <c r="O37"/>
    </row>
    <row r="38" spans="1:17" ht="27" customHeight="1">
      <c r="A38" s="1001"/>
      <c r="B38" s="1001"/>
      <c r="C38" s="1001"/>
      <c r="D38" s="1001"/>
      <c r="E38" s="1001"/>
      <c r="F38"/>
      <c r="G38"/>
      <c r="H38"/>
      <c r="I38"/>
      <c r="J38"/>
      <c r="K38"/>
      <c r="L38"/>
      <c r="M38"/>
      <c r="N38"/>
      <c r="O38"/>
    </row>
    <row r="39" spans="1:17" ht="27" customHeight="1">
      <c r="A39" s="1126" t="s">
        <v>1671</v>
      </c>
      <c r="B39" s="1126"/>
      <c r="C39" s="1126"/>
      <c r="D39" s="1126"/>
      <c r="E39" s="1126"/>
      <c r="F39" s="1126"/>
      <c r="G39" s="1126"/>
      <c r="H39" s="1126"/>
      <c r="I39" s="1126"/>
      <c r="J39" s="1126"/>
      <c r="K39" s="1126"/>
      <c r="L39" s="1126"/>
      <c r="M39" s="1126"/>
      <c r="N39"/>
      <c r="O39"/>
    </row>
    <row r="40" spans="1:17" ht="27" customHeight="1">
      <c r="A40" s="1129" t="s">
        <v>1633</v>
      </c>
      <c r="B40" s="1131" t="s">
        <v>1118</v>
      </c>
      <c r="C40" s="1001" t="s">
        <v>1672</v>
      </c>
      <c r="D40" s="1001" t="s">
        <v>1674</v>
      </c>
      <c r="E40" s="1001" t="s">
        <v>1676</v>
      </c>
      <c r="F40" s="1001" t="s">
        <v>1677</v>
      </c>
      <c r="G40" s="1001" t="s">
        <v>1679</v>
      </c>
      <c r="H40" s="1001" t="s">
        <v>1681</v>
      </c>
      <c r="I40" s="1001" t="s">
        <v>64</v>
      </c>
      <c r="J40" s="1001" t="s">
        <v>1681</v>
      </c>
      <c r="K40" s="1001" t="s">
        <v>1684</v>
      </c>
      <c r="L40" s="1001" t="s">
        <v>1685</v>
      </c>
      <c r="M40" s="1001" t="s">
        <v>1687</v>
      </c>
      <c r="N40"/>
      <c r="O40"/>
      <c r="P40" s="983"/>
      <c r="Q40" s="983"/>
    </row>
    <row r="41" spans="1:17" ht="27" customHeight="1">
      <c r="A41" s="1129"/>
      <c r="B41" s="1131"/>
      <c r="C41" s="1001" t="s">
        <v>1673</v>
      </c>
      <c r="D41" s="1001" t="s">
        <v>1675</v>
      </c>
      <c r="E41" s="1001" t="s">
        <v>1675</v>
      </c>
      <c r="F41" s="1001" t="s">
        <v>1678</v>
      </c>
      <c r="G41" s="1001" t="s">
        <v>1680</v>
      </c>
      <c r="H41" s="1001" t="s">
        <v>1673</v>
      </c>
      <c r="I41" s="1001" t="s">
        <v>1682</v>
      </c>
      <c r="J41" s="1001" t="s">
        <v>1683</v>
      </c>
      <c r="K41" s="1001" t="s">
        <v>1683</v>
      </c>
      <c r="L41" s="1001" t="s">
        <v>1686</v>
      </c>
      <c r="M41" s="1001" t="s">
        <v>1673</v>
      </c>
      <c r="N41"/>
      <c r="O41"/>
    </row>
    <row r="42" spans="1:17" ht="27" customHeight="1">
      <c r="A42" s="1126" t="s">
        <v>1671</v>
      </c>
      <c r="B42" s="1126"/>
      <c r="C42" s="1126"/>
      <c r="D42" s="1126"/>
      <c r="E42" s="1126"/>
      <c r="F42" s="1126"/>
      <c r="G42" s="1126"/>
      <c r="H42" s="1126"/>
      <c r="I42" s="1126"/>
      <c r="J42" s="1126"/>
      <c r="K42" s="1126"/>
      <c r="L42" s="1126"/>
      <c r="M42" s="1126"/>
      <c r="N42"/>
      <c r="O42"/>
    </row>
    <row r="43" spans="1:17">
      <c r="A43" s="1040">
        <v>1</v>
      </c>
      <c r="B43" s="1039" t="s">
        <v>1624</v>
      </c>
      <c r="C43" s="1001">
        <v>4206160693.71</v>
      </c>
      <c r="D43" s="1001">
        <v>21282480087.849998</v>
      </c>
      <c r="E43" s="1001">
        <v>1303520226.6500001</v>
      </c>
      <c r="F43" s="1001">
        <v>16045241391.23</v>
      </c>
      <c r="G43" s="1001">
        <v>0</v>
      </c>
      <c r="H43" s="1001">
        <v>31876245.949999999</v>
      </c>
      <c r="I43" s="1001">
        <v>1150615265.3299999</v>
      </c>
      <c r="J43" s="1001">
        <v>-425181677.24000001</v>
      </c>
      <c r="K43" s="1001">
        <v>-82916490.569999993</v>
      </c>
      <c r="L43" s="1001">
        <v>-698899292.99000001</v>
      </c>
      <c r="M43" s="1001">
        <v>33744346.5</v>
      </c>
      <c r="N43"/>
      <c r="O43"/>
    </row>
    <row r="44" spans="1:17">
      <c r="A44" s="1040">
        <v>2</v>
      </c>
      <c r="B44" s="1039" t="s">
        <v>1625</v>
      </c>
      <c r="C44" s="1001">
        <v>3700790</v>
      </c>
      <c r="D44" s="1001">
        <v>22202684</v>
      </c>
      <c r="E44" s="1001">
        <v>474615</v>
      </c>
      <c r="F44" s="1001">
        <v>15293796.699999999</v>
      </c>
      <c r="G44" s="1001">
        <v>0</v>
      </c>
      <c r="H44" s="1001">
        <v>0</v>
      </c>
      <c r="I44" s="1001">
        <v>1305593.4099999999</v>
      </c>
      <c r="J44" s="1001">
        <v>-539933.76</v>
      </c>
      <c r="K44" s="1001">
        <v>-184559.39</v>
      </c>
      <c r="L44" s="1001">
        <v>-246544.8</v>
      </c>
      <c r="M44" s="1001">
        <v>0</v>
      </c>
      <c r="N44"/>
      <c r="O44"/>
    </row>
    <row r="45" spans="1:17">
      <c r="A45" s="1040">
        <v>3</v>
      </c>
      <c r="B45" s="1039" t="s">
        <v>1626</v>
      </c>
      <c r="C45" s="1001">
        <v>1295625</v>
      </c>
      <c r="D45" s="1001">
        <v>7146694.4000000004</v>
      </c>
      <c r="E45" s="1001">
        <v>0</v>
      </c>
      <c r="F45" s="1001">
        <v>0</v>
      </c>
      <c r="G45" s="1001">
        <v>0</v>
      </c>
      <c r="H45" s="1001">
        <v>127675.53</v>
      </c>
      <c r="I45" s="1001">
        <v>0</v>
      </c>
      <c r="J45" s="1001">
        <v>-148371.68</v>
      </c>
      <c r="K45" s="1001">
        <v>-44805.06</v>
      </c>
      <c r="L45" s="1001">
        <v>0</v>
      </c>
      <c r="M45" s="1001">
        <v>0</v>
      </c>
      <c r="N45"/>
      <c r="O45"/>
    </row>
    <row r="46" spans="1:17">
      <c r="A46" s="1040">
        <v>4</v>
      </c>
      <c r="B46" s="1039" t="s">
        <v>1627</v>
      </c>
      <c r="C46" s="1001">
        <v>5920000</v>
      </c>
      <c r="D46" s="1001">
        <v>0</v>
      </c>
      <c r="E46" s="1001">
        <v>0</v>
      </c>
      <c r="F46" s="1001">
        <v>0</v>
      </c>
      <c r="G46" s="1001">
        <v>0</v>
      </c>
      <c r="H46" s="1001">
        <v>0</v>
      </c>
      <c r="I46" s="1001">
        <v>21399236.420000002</v>
      </c>
      <c r="J46" s="1001">
        <v>0</v>
      </c>
      <c r="K46" s="1001">
        <v>0</v>
      </c>
      <c r="L46" s="1001">
        <v>0</v>
      </c>
      <c r="M46" s="1001">
        <v>0</v>
      </c>
      <c r="N46"/>
      <c r="O46"/>
    </row>
    <row r="47" spans="1:17">
      <c r="A47" s="1040">
        <v>5</v>
      </c>
      <c r="B47" s="1039" t="s">
        <v>1628</v>
      </c>
      <c r="C47" s="1001">
        <v>0</v>
      </c>
      <c r="D47" s="1001">
        <v>0</v>
      </c>
      <c r="E47" s="1001">
        <v>0</v>
      </c>
      <c r="F47" s="1001">
        <v>0</v>
      </c>
      <c r="G47" s="1001">
        <v>0</v>
      </c>
      <c r="H47" s="1001">
        <v>0</v>
      </c>
      <c r="I47" s="1001">
        <v>0</v>
      </c>
      <c r="J47" s="1001">
        <v>0</v>
      </c>
      <c r="K47" s="1001">
        <v>0</v>
      </c>
      <c r="L47" s="1001">
        <v>0</v>
      </c>
      <c r="M47" s="1001">
        <v>0</v>
      </c>
      <c r="N47"/>
      <c r="O47"/>
    </row>
    <row r="48" spans="1:17">
      <c r="A48" s="1040">
        <v>6</v>
      </c>
      <c r="B48" s="1039" t="s">
        <v>1629</v>
      </c>
      <c r="C48" s="1001">
        <v>0</v>
      </c>
      <c r="D48" s="1001">
        <v>0</v>
      </c>
      <c r="E48" s="1001">
        <v>0</v>
      </c>
      <c r="F48" s="1001">
        <v>0</v>
      </c>
      <c r="G48" s="1001">
        <v>0</v>
      </c>
      <c r="H48" s="1001">
        <v>0</v>
      </c>
      <c r="I48" s="1001">
        <v>0</v>
      </c>
      <c r="J48" s="1001">
        <v>0</v>
      </c>
      <c r="K48" s="1001">
        <v>0</v>
      </c>
      <c r="L48" s="1001">
        <v>0</v>
      </c>
      <c r="M48" s="1001">
        <v>0</v>
      </c>
      <c r="N48"/>
      <c r="O48"/>
    </row>
    <row r="49" spans="1:15">
      <c r="A49" s="1040">
        <v>7</v>
      </c>
      <c r="B49" s="1039" t="s">
        <v>1630</v>
      </c>
      <c r="C49" s="1001">
        <v>0</v>
      </c>
      <c r="D49" s="1001">
        <v>0</v>
      </c>
      <c r="E49" s="1001">
        <v>0</v>
      </c>
      <c r="F49" s="1001">
        <v>0</v>
      </c>
      <c r="G49" s="1001">
        <v>0</v>
      </c>
      <c r="H49" s="1001">
        <v>0</v>
      </c>
      <c r="I49" s="1001">
        <v>0</v>
      </c>
      <c r="J49" s="1001">
        <v>0</v>
      </c>
      <c r="K49" s="1001">
        <v>0</v>
      </c>
      <c r="L49" s="1001">
        <v>0</v>
      </c>
      <c r="M49" s="1001">
        <v>0</v>
      </c>
      <c r="N49"/>
      <c r="O49"/>
    </row>
    <row r="50" spans="1:15">
      <c r="A50" s="1040">
        <v>8</v>
      </c>
      <c r="B50" s="1039" t="s">
        <v>1129</v>
      </c>
      <c r="C50" s="1001">
        <v>0</v>
      </c>
      <c r="D50" s="1001">
        <v>0</v>
      </c>
      <c r="E50" s="1001">
        <v>0</v>
      </c>
      <c r="F50" s="1001">
        <v>0</v>
      </c>
      <c r="G50" s="1001">
        <v>0</v>
      </c>
      <c r="H50" s="1001">
        <v>0</v>
      </c>
      <c r="I50" s="1001">
        <v>1324603970.29</v>
      </c>
      <c r="J50" s="1001">
        <v>0</v>
      </c>
      <c r="K50" s="1001">
        <v>0</v>
      </c>
      <c r="L50" s="1001">
        <v>0</v>
      </c>
      <c r="M50" s="1001">
        <v>0</v>
      </c>
      <c r="N50"/>
      <c r="O50"/>
    </row>
    <row r="51" spans="1:15" ht="27" customHeight="1">
      <c r="A51" s="1040">
        <v>9</v>
      </c>
      <c r="B51" s="1039" t="s">
        <v>1581</v>
      </c>
      <c r="C51" s="1001">
        <v>27677568.68</v>
      </c>
      <c r="D51" s="1001">
        <v>44432</v>
      </c>
      <c r="E51" s="1001">
        <v>1906.2</v>
      </c>
      <c r="F51" s="1001">
        <v>0</v>
      </c>
      <c r="G51" s="1001">
        <v>0</v>
      </c>
      <c r="H51" s="1001">
        <v>0</v>
      </c>
      <c r="I51" s="1001">
        <v>9419791.8699999992</v>
      </c>
      <c r="J51" s="1001">
        <v>-533.17999999999995</v>
      </c>
      <c r="K51" s="1001">
        <v>0</v>
      </c>
      <c r="L51" s="1001">
        <v>-168.56</v>
      </c>
      <c r="M51" s="1001">
        <v>0</v>
      </c>
      <c r="N51"/>
      <c r="O51"/>
    </row>
    <row r="52" spans="1:15" ht="27" customHeight="1">
      <c r="A52" s="1040">
        <v>10</v>
      </c>
      <c r="B52" s="1039" t="s">
        <v>1631</v>
      </c>
      <c r="C52" s="1001">
        <v>10158042.09</v>
      </c>
      <c r="D52" s="1001">
        <v>65290301.200000003</v>
      </c>
      <c r="E52" s="1001">
        <v>3175722.85</v>
      </c>
      <c r="F52" s="1001">
        <v>46834362.700000003</v>
      </c>
      <c r="G52" s="1001">
        <v>0</v>
      </c>
      <c r="H52" s="1001">
        <v>1480007.3</v>
      </c>
      <c r="I52" s="1001">
        <v>3263507.49</v>
      </c>
      <c r="J52" s="1001">
        <v>-312259.7</v>
      </c>
      <c r="K52" s="1001">
        <v>0</v>
      </c>
      <c r="L52" s="1001">
        <v>-1828635.63</v>
      </c>
      <c r="M52" s="1001">
        <v>0</v>
      </c>
      <c r="N52"/>
      <c r="O52"/>
    </row>
    <row r="53" spans="1:15" ht="27" customHeight="1">
      <c r="A53" s="1126" t="s">
        <v>1671</v>
      </c>
      <c r="B53" s="1126"/>
      <c r="C53" s="1126"/>
      <c r="D53" s="1126"/>
      <c r="E53" s="1126"/>
      <c r="F53" s="1126"/>
      <c r="G53" s="1126"/>
      <c r="H53" s="1126"/>
      <c r="I53" s="1126"/>
      <c r="J53" s="1126"/>
      <c r="K53" s="1126"/>
      <c r="L53" s="1126"/>
      <c r="M53" s="1126"/>
      <c r="N53" s="1126"/>
      <c r="O53" s="1126"/>
    </row>
    <row r="54" spans="1:15" ht="27" customHeight="1">
      <c r="A54" s="1131" t="s">
        <v>1632</v>
      </c>
      <c r="B54" s="1131"/>
      <c r="C54" s="1001">
        <v>4254912719.48</v>
      </c>
      <c r="D54" s="1001">
        <v>21377164199.450001</v>
      </c>
      <c r="E54" s="1001">
        <v>1307172470.7</v>
      </c>
      <c r="F54" s="1001">
        <v>16107369550.629999</v>
      </c>
      <c r="G54" s="1001">
        <v>0</v>
      </c>
      <c r="H54" s="1001">
        <v>33483928.780000001</v>
      </c>
      <c r="I54" s="1001">
        <v>2510607364.8099999</v>
      </c>
      <c r="J54" s="1001">
        <v>-426182775.56</v>
      </c>
      <c r="K54" s="1001">
        <v>-83145855.019999996</v>
      </c>
      <c r="L54" s="1001">
        <v>-700974641.98000002</v>
      </c>
      <c r="M54" s="1001">
        <v>33744346.5</v>
      </c>
      <c r="N54"/>
      <c r="O54"/>
    </row>
    <row r="55" spans="1:15">
      <c r="A55" s="1126" t="s">
        <v>1671</v>
      </c>
      <c r="B55" s="1126"/>
      <c r="C55" s="1126"/>
      <c r="D55" s="1126"/>
      <c r="E55" s="1126"/>
      <c r="F55" s="1126"/>
      <c r="G55" s="1126"/>
      <c r="H55" s="1126"/>
      <c r="I55" s="1126"/>
      <c r="J55" s="1126"/>
      <c r="K55" s="1126"/>
      <c r="L55" s="1126"/>
      <c r="M55" s="1126"/>
      <c r="N55" s="1126"/>
      <c r="O55" s="1126"/>
    </row>
    <row r="56" spans="1:15">
      <c r="A56" s="1141"/>
      <c r="B56" s="1141"/>
      <c r="C56" s="1141"/>
      <c r="D56" s="1141"/>
      <c r="E56" s="1141"/>
      <c r="F56"/>
      <c r="G56"/>
      <c r="H56"/>
      <c r="I56"/>
      <c r="J56"/>
      <c r="K56"/>
      <c r="L56"/>
      <c r="M56"/>
    </row>
    <row r="57" spans="1:15" ht="15" customHeight="1">
      <c r="A57" s="1142"/>
      <c r="B57" s="1142"/>
      <c r="C57" s="1142"/>
      <c r="D57" s="1142"/>
      <c r="E57" s="1142"/>
      <c r="F57" s="1142"/>
      <c r="G57" s="1142"/>
      <c r="H57" s="1142"/>
      <c r="I57" s="1142"/>
      <c r="J57" s="1142"/>
      <c r="K57" s="1142"/>
      <c r="L57"/>
      <c r="M57"/>
    </row>
    <row r="58" spans="1: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5" ht="15" customHeight="1">
      <c r="A59" s="1142"/>
      <c r="B59" s="1142"/>
      <c r="C59" s="1142"/>
      <c r="D59" s="1142"/>
      <c r="E59" s="1142"/>
      <c r="F59" s="1142"/>
      <c r="G59" s="1142"/>
      <c r="H59" s="1142"/>
      <c r="I59" s="1142"/>
      <c r="J59" s="1142"/>
      <c r="K59" s="1142"/>
      <c r="L59"/>
      <c r="M59"/>
    </row>
    <row r="60" spans="1:15" ht="15" customHeight="1">
      <c r="A60" s="1143"/>
      <c r="B60" s="1143"/>
      <c r="C60" s="1143"/>
      <c r="D60" s="1143"/>
      <c r="E60" s="1143"/>
      <c r="F60" s="1143"/>
      <c r="G60" s="1143"/>
      <c r="H60" s="1143"/>
      <c r="I60" s="1144"/>
      <c r="J60" s="1144"/>
      <c r="K60" s="1144"/>
      <c r="L60"/>
      <c r="M60"/>
    </row>
    <row r="61" spans="1:15" ht="27" customHeight="1">
      <c r="A61" s="1143"/>
      <c r="B61" s="1143"/>
      <c r="C61" s="1143"/>
      <c r="D61" s="1143"/>
      <c r="E61" s="1143"/>
      <c r="F61" s="1143"/>
      <c r="G61" s="1143"/>
      <c r="H61" s="1143"/>
      <c r="I61" s="1143"/>
      <c r="J61" s="1144"/>
      <c r="K61" s="1144"/>
      <c r="L61" s="1144"/>
      <c r="M61"/>
    </row>
    <row r="62" spans="1:15" ht="27" customHeight="1">
      <c r="A62" s="1145"/>
      <c r="B62" s="1145"/>
      <c r="C62" s="1145"/>
      <c r="D62" s="1145"/>
      <c r="E62" s="1145"/>
      <c r="F62" s="1145"/>
      <c r="G62" s="1145"/>
      <c r="H62" s="1145"/>
      <c r="I62" s="1145"/>
      <c r="J62" s="1145"/>
      <c r="K62" s="1145"/>
      <c r="L62"/>
      <c r="M62"/>
    </row>
    <row r="63" spans="1:15" ht="27" customHeight="1">
      <c r="A63" s="1140"/>
      <c r="B63" s="1140"/>
      <c r="C63" s="1140"/>
      <c r="D63" s="1140"/>
      <c r="E63" s="1140"/>
      <c r="F63" s="1140"/>
      <c r="G63" s="1140"/>
      <c r="H63" s="1140"/>
      <c r="I63" s="1140"/>
      <c r="J63" s="1140"/>
      <c r="K63" s="1140"/>
      <c r="L63" s="1140"/>
      <c r="M63" s="1140"/>
    </row>
    <row r="64" spans="1:15" ht="27" customHeight="1">
      <c r="A64" s="1007"/>
      <c r="B64" s="1007"/>
      <c r="C64" s="1008"/>
      <c r="D64" s="1008"/>
      <c r="E64" s="1008"/>
      <c r="F64" s="1008"/>
      <c r="G64" s="1008"/>
      <c r="H64" s="1008"/>
      <c r="I64" s="1008"/>
      <c r="J64" s="1008"/>
      <c r="K64" s="1008"/>
      <c r="L64" s="986"/>
      <c r="M64"/>
    </row>
    <row r="65" spans="1:18" ht="27" customHeight="1">
      <c r="A65" s="1008"/>
      <c r="B65" s="1008"/>
      <c r="C65" s="1008"/>
      <c r="D65" s="1008"/>
      <c r="E65" s="1008"/>
      <c r="F65" s="1008"/>
      <c r="G65" s="1008"/>
      <c r="H65" s="1008"/>
      <c r="I65" s="1008"/>
      <c r="J65" s="1008"/>
      <c r="K65" s="1008"/>
      <c r="L65" s="986"/>
      <c r="M65"/>
      <c r="O65" s="983"/>
      <c r="P65" s="983"/>
      <c r="Q65" s="983"/>
    </row>
    <row r="66" spans="1:18" ht="27" customHeight="1">
      <c r="A66" s="1140"/>
      <c r="B66" s="1140"/>
      <c r="C66" s="1140"/>
      <c r="D66" s="1140"/>
      <c r="E66" s="1140"/>
      <c r="F66" s="1140"/>
      <c r="G66" s="1140"/>
      <c r="H66" s="1140"/>
      <c r="I66" s="1140"/>
      <c r="J66" s="1140"/>
      <c r="K66" s="1140"/>
      <c r="L66" s="1140"/>
      <c r="M66" s="1140"/>
    </row>
    <row r="67" spans="1:18">
      <c r="A67" s="1009"/>
      <c r="B67" s="1011"/>
      <c r="C67" s="1010"/>
      <c r="D67" s="1010"/>
      <c r="E67" s="1010"/>
      <c r="F67" s="1010"/>
      <c r="G67" s="1010"/>
      <c r="H67" s="1010"/>
      <c r="I67" s="1010"/>
      <c r="J67" s="1010"/>
      <c r="K67" s="1010"/>
      <c r="L67" s="986"/>
      <c r="M67"/>
    </row>
    <row r="68" spans="1:18">
      <c r="A68" s="1012"/>
      <c r="B68" s="1012"/>
      <c r="C68" s="1010"/>
      <c r="D68" s="1010"/>
      <c r="E68" s="1010"/>
      <c r="F68" s="1010"/>
      <c r="G68" s="1010"/>
      <c r="H68" s="1010"/>
      <c r="I68" s="1010"/>
      <c r="J68" s="1010"/>
      <c r="K68" s="1010"/>
      <c r="L68" s="986"/>
      <c r="M68"/>
      <c r="O68" s="984"/>
      <c r="R68" s="984"/>
    </row>
    <row r="69" spans="1:18">
      <c r="A69" s="1009"/>
      <c r="B69" s="1011"/>
      <c r="C69" s="1010"/>
      <c r="D69" s="1010"/>
      <c r="E69" s="1010"/>
      <c r="F69" s="1010"/>
      <c r="G69" s="1010"/>
      <c r="H69" s="1010"/>
      <c r="I69" s="1010"/>
      <c r="J69" s="1010"/>
      <c r="K69" s="1010"/>
      <c r="L69" s="986"/>
      <c r="M69"/>
      <c r="R69" s="984"/>
    </row>
    <row r="70" spans="1:18">
      <c r="A70" s="1012"/>
      <c r="B70" s="1012"/>
      <c r="C70" s="1010"/>
      <c r="D70" s="1010"/>
      <c r="E70" s="1010"/>
      <c r="F70" s="1010"/>
      <c r="G70" s="1010"/>
      <c r="H70" s="1010"/>
      <c r="I70" s="1010"/>
      <c r="J70" s="1010"/>
      <c r="K70" s="1010"/>
      <c r="L70" s="986"/>
      <c r="M70"/>
      <c r="O70" s="984"/>
      <c r="R70" s="984"/>
    </row>
    <row r="71" spans="1:18">
      <c r="A71" s="1009"/>
      <c r="B71" s="1011"/>
      <c r="C71" s="1010"/>
      <c r="D71" s="1010"/>
      <c r="E71" s="1010"/>
      <c r="F71" s="1010"/>
      <c r="G71" s="1010"/>
      <c r="H71" s="1010"/>
      <c r="I71" s="1010"/>
      <c r="J71" s="1010"/>
      <c r="K71" s="1010"/>
      <c r="L71" s="986"/>
      <c r="M71"/>
      <c r="R71" s="984"/>
    </row>
    <row r="72" spans="1:18">
      <c r="A72" s="1012"/>
      <c r="B72" s="1012"/>
      <c r="C72" s="1010"/>
      <c r="D72" s="1010"/>
      <c r="E72" s="1010"/>
      <c r="F72" s="1010"/>
      <c r="G72" s="1010"/>
      <c r="H72" s="1010"/>
      <c r="I72" s="1010"/>
      <c r="J72" s="1010"/>
      <c r="K72" s="1010"/>
      <c r="L72" s="986"/>
      <c r="M72"/>
      <c r="O72" s="984"/>
      <c r="R72" s="984"/>
    </row>
    <row r="73" spans="1:18">
      <c r="A73" s="1009"/>
      <c r="B73" s="1011"/>
      <c r="C73" s="1010"/>
      <c r="D73" s="1010"/>
      <c r="E73" s="1010"/>
      <c r="F73" s="1010"/>
      <c r="G73" s="1010"/>
      <c r="H73" s="1010"/>
      <c r="I73" s="1010"/>
      <c r="J73" s="1010"/>
      <c r="K73" s="1010"/>
      <c r="L73" s="986"/>
      <c r="M73"/>
    </row>
    <row r="74" spans="1:18">
      <c r="A74" s="1012"/>
      <c r="B74" s="1012"/>
      <c r="C74" s="1010"/>
      <c r="D74" s="1010"/>
      <c r="E74" s="1010"/>
      <c r="F74" s="1010"/>
      <c r="G74" s="1010"/>
      <c r="H74" s="1010"/>
      <c r="I74" s="1010"/>
      <c r="J74" s="1010"/>
      <c r="K74" s="1010"/>
      <c r="L74" s="986"/>
      <c r="M74"/>
    </row>
    <row r="75" spans="1:18">
      <c r="A75" s="1009"/>
      <c r="B75" s="1011"/>
      <c r="C75" s="1010"/>
      <c r="D75" s="1010"/>
      <c r="E75" s="1010"/>
      <c r="F75" s="1010"/>
      <c r="G75" s="1010"/>
      <c r="H75" s="1010"/>
      <c r="I75" s="1010"/>
      <c r="J75" s="1010"/>
      <c r="K75" s="1010"/>
      <c r="L75" s="986"/>
      <c r="M75"/>
    </row>
    <row r="76" spans="1:18">
      <c r="A76" s="1012"/>
      <c r="B76" s="1012"/>
      <c r="C76" s="1010"/>
      <c r="D76" s="1010"/>
      <c r="E76" s="1010"/>
      <c r="F76" s="1010"/>
      <c r="G76" s="1010"/>
      <c r="H76" s="1010"/>
      <c r="I76" s="1010"/>
      <c r="J76" s="1010"/>
      <c r="K76" s="1010"/>
      <c r="L76" s="986"/>
      <c r="M76"/>
    </row>
    <row r="77" spans="1:18">
      <c r="A77" s="1009"/>
      <c r="B77" s="1011"/>
      <c r="C77" s="1010"/>
      <c r="D77" s="1010"/>
      <c r="E77" s="1010"/>
      <c r="F77" s="1010"/>
      <c r="G77" s="1010"/>
      <c r="H77" s="1010"/>
      <c r="I77" s="1010"/>
      <c r="J77" s="1010"/>
      <c r="K77" s="1010"/>
      <c r="L77" s="986"/>
      <c r="M77"/>
    </row>
    <row r="78" spans="1:18">
      <c r="A78" s="1012"/>
      <c r="B78" s="1012"/>
      <c r="C78" s="1010"/>
      <c r="D78" s="1010"/>
      <c r="E78" s="1010"/>
      <c r="F78" s="1010"/>
      <c r="G78" s="1010"/>
      <c r="H78" s="1010"/>
      <c r="I78" s="1010"/>
      <c r="J78" s="1010"/>
      <c r="K78" s="1010"/>
      <c r="L78" s="986"/>
      <c r="M78"/>
    </row>
    <row r="79" spans="1:18">
      <c r="A79" s="1009"/>
      <c r="B79" s="1011"/>
      <c r="C79" s="1010"/>
      <c r="D79" s="1010"/>
      <c r="E79" s="1010"/>
      <c r="F79" s="1010"/>
      <c r="G79" s="1010"/>
      <c r="H79" s="1010"/>
      <c r="I79" s="1010"/>
      <c r="J79" s="1010"/>
      <c r="K79" s="1010"/>
      <c r="L79" s="986"/>
      <c r="M79"/>
    </row>
    <row r="80" spans="1:18">
      <c r="A80" s="1012"/>
      <c r="B80" s="1012"/>
      <c r="C80" s="1010"/>
      <c r="D80" s="1010"/>
      <c r="E80" s="1010"/>
      <c r="F80" s="1010"/>
      <c r="G80" s="1010"/>
      <c r="H80" s="1010"/>
      <c r="I80" s="1010"/>
      <c r="J80" s="1010"/>
      <c r="K80" s="1010"/>
      <c r="L80" s="986"/>
      <c r="M80"/>
    </row>
    <row r="81" spans="1:18">
      <c r="A81" s="1009"/>
      <c r="B81" s="1011"/>
      <c r="C81" s="1010"/>
      <c r="D81" s="1010"/>
      <c r="E81" s="1010"/>
      <c r="F81" s="1010"/>
      <c r="G81" s="1010"/>
      <c r="H81" s="1010"/>
      <c r="I81" s="1010"/>
      <c r="J81" s="1010"/>
      <c r="K81" s="1010"/>
      <c r="L81" s="986"/>
      <c r="M81"/>
    </row>
    <row r="82" spans="1:18">
      <c r="A82" s="1012"/>
      <c r="B82" s="1012"/>
      <c r="C82" s="1010"/>
      <c r="D82" s="1010"/>
      <c r="E82" s="1010"/>
      <c r="F82" s="1010"/>
      <c r="G82" s="1010"/>
      <c r="H82" s="1010"/>
      <c r="I82" s="1010"/>
      <c r="J82" s="1010"/>
      <c r="K82" s="1010"/>
      <c r="L82" s="986"/>
      <c r="M82"/>
    </row>
    <row r="83" spans="1:18">
      <c r="A83" s="1009"/>
      <c r="B83" s="1011"/>
      <c r="C83" s="1010"/>
      <c r="D83" s="1010"/>
      <c r="E83" s="1010"/>
      <c r="F83" s="1010"/>
      <c r="G83" s="1010"/>
      <c r="H83" s="1010"/>
      <c r="I83" s="1010"/>
      <c r="J83" s="1010"/>
      <c r="K83" s="1010"/>
      <c r="L83" s="986"/>
      <c r="M83"/>
    </row>
    <row r="84" spans="1:18">
      <c r="A84" s="1012"/>
      <c r="B84" s="1012"/>
      <c r="C84" s="1010"/>
      <c r="D84" s="1010"/>
      <c r="E84" s="1010"/>
      <c r="F84" s="1010"/>
      <c r="G84" s="1010"/>
      <c r="H84" s="1010"/>
      <c r="I84" s="1010"/>
      <c r="J84" s="1010"/>
      <c r="K84" s="1010"/>
      <c r="L84" s="986"/>
      <c r="M84"/>
    </row>
    <row r="85" spans="1:18" ht="27" customHeight="1">
      <c r="A85" s="1009"/>
      <c r="B85" s="1011"/>
      <c r="C85" s="1010"/>
      <c r="D85" s="1010"/>
      <c r="E85" s="1010"/>
      <c r="F85" s="1010"/>
      <c r="G85" s="1010"/>
      <c r="H85" s="1010"/>
      <c r="I85" s="1010"/>
      <c r="J85" s="1010"/>
      <c r="K85" s="1010"/>
      <c r="L85" s="986"/>
      <c r="M85"/>
      <c r="O85" s="984"/>
      <c r="R85" s="984"/>
    </row>
    <row r="86" spans="1:18" ht="27" customHeight="1">
      <c r="A86" s="1012"/>
      <c r="B86" s="1012"/>
      <c r="C86" s="1010"/>
      <c r="D86" s="1010"/>
      <c r="E86" s="1010"/>
      <c r="F86" s="1010"/>
      <c r="G86" s="1010"/>
      <c r="H86" s="1010"/>
      <c r="I86" s="1010"/>
      <c r="J86" s="1010"/>
      <c r="K86" s="1010"/>
      <c r="L86" s="986"/>
      <c r="M86"/>
    </row>
    <row r="87" spans="1:18" ht="27" customHeight="1">
      <c r="A87" s="1140"/>
      <c r="B87" s="1140"/>
      <c r="C87" s="1140"/>
      <c r="D87" s="1140"/>
      <c r="E87" s="1140"/>
      <c r="F87" s="1140"/>
      <c r="G87" s="1140"/>
      <c r="H87" s="1140"/>
      <c r="I87" s="1140"/>
      <c r="J87" s="1140"/>
      <c r="K87" s="1140"/>
      <c r="L87" s="1140"/>
      <c r="M87" s="1140"/>
    </row>
    <row r="88" spans="1:18" ht="27" customHeight="1">
      <c r="A88" s="1146"/>
      <c r="B88" s="1146"/>
      <c r="C88" s="1013"/>
      <c r="D88" s="1013"/>
      <c r="E88" s="1013"/>
      <c r="F88" s="1013"/>
      <c r="G88" s="1013"/>
      <c r="H88" s="1013"/>
      <c r="I88" s="1013"/>
      <c r="J88" s="1013"/>
      <c r="K88" s="1013"/>
      <c r="L88" s="986"/>
      <c r="M88"/>
      <c r="O88" s="985"/>
      <c r="P88" s="985"/>
      <c r="Q88" s="985"/>
    </row>
    <row r="89" spans="1:18" ht="27" customHeight="1">
      <c r="A89" s="1004"/>
      <c r="B89" s="1014"/>
      <c r="C89" s="1014"/>
      <c r="D89" s="1014"/>
      <c r="E89" s="1014"/>
      <c r="F89" s="1014"/>
      <c r="G89" s="1014"/>
      <c r="H89" s="1014"/>
      <c r="I89" s="1014"/>
      <c r="J89" s="1014"/>
      <c r="K89" s="1014"/>
      <c r="L89" s="986"/>
      <c r="M89"/>
      <c r="O89" s="985"/>
      <c r="P89" s="985"/>
      <c r="Q89" s="985"/>
    </row>
    <row r="90" spans="1:18" ht="27" customHeight="1">
      <c r="A90" s="1004"/>
      <c r="B90" s="1015"/>
      <c r="C90" s="1014"/>
      <c r="D90" s="1014"/>
      <c r="E90" s="1014"/>
      <c r="F90" s="1014"/>
      <c r="G90" s="1014"/>
      <c r="H90" s="1014"/>
      <c r="I90" s="1014"/>
      <c r="J90" s="1014"/>
      <c r="K90" s="1014"/>
      <c r="L90" s="986"/>
      <c r="M90"/>
      <c r="O90" s="985"/>
      <c r="P90" s="985"/>
      <c r="Q90" s="985"/>
    </row>
    <row r="91" spans="1:18" ht="27" customHeight="1">
      <c r="A91" s="986"/>
      <c r="B91" s="1014"/>
      <c r="C91" s="1014"/>
      <c r="D91" s="1014"/>
      <c r="E91" s="1014"/>
      <c r="F91" s="1014"/>
      <c r="G91" s="1014"/>
      <c r="H91" s="1014"/>
      <c r="I91" s="1014"/>
      <c r="J91" s="1014"/>
      <c r="K91" s="1014"/>
      <c r="L91" s="986"/>
      <c r="M91"/>
    </row>
    <row r="92" spans="1:18" ht="27" customHeight="1">
      <c r="A92" s="1140"/>
      <c r="B92" s="1140"/>
      <c r="C92" s="1140"/>
      <c r="D92" s="1140"/>
      <c r="E92" s="1140"/>
      <c r="F92" s="1140"/>
      <c r="G92" s="1140"/>
      <c r="H92" s="1140"/>
      <c r="I92" s="1140"/>
      <c r="J92" s="1140"/>
      <c r="K92" s="1140"/>
      <c r="L92" s="1140"/>
      <c r="M92" s="1140"/>
    </row>
    <row r="93" spans="1:18" ht="15" customHeight="1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8" ht="27" customHeight="1">
      <c r="A94" s="1142"/>
      <c r="B94" s="1142"/>
      <c r="C94" s="1142"/>
      <c r="D94" s="1142"/>
      <c r="E94" s="1142"/>
      <c r="F94"/>
      <c r="G94"/>
      <c r="H94"/>
      <c r="I94"/>
      <c r="J94"/>
      <c r="K94"/>
      <c r="L94"/>
      <c r="M94"/>
    </row>
    <row r="95" spans="1:18" ht="27" customHeight="1">
      <c r="A95" s="986"/>
      <c r="B95" s="986"/>
      <c r="C95" s="986"/>
      <c r="D95" s="986"/>
      <c r="E95" s="986"/>
      <c r="F95"/>
      <c r="G95"/>
      <c r="H95"/>
      <c r="I95"/>
      <c r="J95"/>
      <c r="K95"/>
      <c r="L95"/>
      <c r="M95"/>
    </row>
    <row r="96" spans="1:18" ht="27" customHeight="1">
      <c r="A96" s="1140"/>
      <c r="B96" s="1140"/>
      <c r="C96" s="1140"/>
      <c r="D96" s="1140"/>
      <c r="E96" s="1140"/>
      <c r="F96" s="1140"/>
      <c r="G96" s="1140"/>
      <c r="H96" s="1140"/>
      <c r="I96" s="1140"/>
      <c r="J96" s="1140"/>
      <c r="K96" s="1140"/>
      <c r="L96" s="1140"/>
      <c r="M96" s="1140"/>
    </row>
    <row r="97" spans="1:13" ht="27" customHeight="1">
      <c r="A97" s="1016"/>
      <c r="B97" s="1018"/>
      <c r="C97" s="1017"/>
      <c r="D97" s="1017"/>
      <c r="E97" s="1017"/>
      <c r="F97" s="1017"/>
      <c r="G97" s="1017"/>
      <c r="H97" s="1017"/>
      <c r="I97" s="1017"/>
      <c r="J97" s="1017"/>
      <c r="K97" s="1017"/>
      <c r="L97" s="986"/>
      <c r="M97"/>
    </row>
    <row r="98" spans="1:13" ht="27" customHeight="1">
      <c r="A98" s="1140"/>
      <c r="B98" s="1140"/>
      <c r="C98" s="1140"/>
      <c r="D98" s="1140"/>
      <c r="E98" s="1140"/>
      <c r="F98" s="1140"/>
      <c r="G98" s="1140"/>
      <c r="H98" s="1140"/>
      <c r="I98" s="1140"/>
      <c r="J98" s="1140"/>
      <c r="K98" s="1140"/>
      <c r="L98" s="1140"/>
      <c r="M98" s="1140"/>
    </row>
    <row r="99" spans="1:13">
      <c r="A99" s="1019"/>
      <c r="B99" s="1021"/>
      <c r="C99" s="1020"/>
      <c r="D99" s="1020"/>
      <c r="E99" s="1020"/>
      <c r="F99" s="1020"/>
      <c r="G99" s="1020"/>
      <c r="H99" s="1020"/>
      <c r="I99" s="1020"/>
      <c r="J99" s="1020"/>
      <c r="K99" s="1020"/>
      <c r="L99" s="986"/>
      <c r="M99"/>
    </row>
    <row r="100" spans="1:13">
      <c r="A100" s="1019"/>
      <c r="B100" s="1021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986"/>
      <c r="M100"/>
    </row>
    <row r="101" spans="1:13">
      <c r="A101" s="1019"/>
      <c r="B101" s="1021"/>
      <c r="C101" s="1020"/>
      <c r="D101" s="1020"/>
      <c r="E101" s="1020"/>
      <c r="F101" s="1020"/>
      <c r="G101" s="1020"/>
      <c r="H101" s="1020"/>
      <c r="I101" s="1020"/>
      <c r="J101" s="1020"/>
      <c r="K101" s="1020"/>
      <c r="L101" s="986"/>
      <c r="M101"/>
    </row>
    <row r="102" spans="1:13">
      <c r="A102" s="1019"/>
      <c r="B102" s="1021"/>
      <c r="C102" s="1020"/>
      <c r="D102" s="1020"/>
      <c r="E102" s="1020"/>
      <c r="F102" s="1020"/>
      <c r="G102" s="1020"/>
      <c r="H102" s="1020"/>
      <c r="I102" s="1020"/>
      <c r="J102" s="1020"/>
      <c r="K102" s="1020"/>
      <c r="L102" s="986"/>
      <c r="M102"/>
    </row>
    <row r="103" spans="1:13">
      <c r="A103" s="1019"/>
      <c r="B103" s="1021"/>
      <c r="C103" s="1020"/>
      <c r="D103" s="1020"/>
      <c r="E103" s="1020"/>
      <c r="F103" s="1020"/>
      <c r="G103" s="1020"/>
      <c r="H103" s="1020"/>
      <c r="I103" s="1020"/>
      <c r="J103" s="1020"/>
      <c r="K103" s="1020"/>
      <c r="L103" s="986"/>
      <c r="M103"/>
    </row>
    <row r="104" spans="1:13">
      <c r="A104" s="1019"/>
      <c r="B104" s="1021"/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986"/>
      <c r="M104"/>
    </row>
    <row r="105" spans="1:13">
      <c r="A105" s="1019"/>
      <c r="B105" s="1021"/>
      <c r="C105" s="1020"/>
      <c r="D105" s="1020"/>
      <c r="E105" s="1020"/>
      <c r="F105" s="1020"/>
      <c r="G105" s="1020"/>
      <c r="H105" s="1020"/>
      <c r="I105" s="1020"/>
      <c r="J105" s="1020"/>
      <c r="K105" s="1020"/>
      <c r="L105" s="986"/>
      <c r="M105"/>
    </row>
    <row r="106" spans="1:13">
      <c r="A106" s="1019"/>
      <c r="B106" s="1021"/>
      <c r="C106" s="1020"/>
      <c r="D106" s="1020"/>
      <c r="E106" s="1020"/>
      <c r="F106" s="1020"/>
      <c r="G106" s="1020"/>
      <c r="H106" s="1020"/>
      <c r="I106" s="1020"/>
      <c r="J106" s="1020"/>
      <c r="K106" s="1020"/>
      <c r="L106" s="986"/>
      <c r="M106"/>
    </row>
    <row r="107" spans="1:13" ht="27" customHeight="1">
      <c r="A107" s="1019"/>
      <c r="B107" s="1021"/>
      <c r="C107" s="1020"/>
      <c r="D107" s="1020"/>
      <c r="E107" s="1020"/>
      <c r="F107" s="1020"/>
      <c r="G107" s="1020"/>
      <c r="H107" s="1020"/>
      <c r="I107" s="1020"/>
      <c r="J107" s="1020"/>
      <c r="K107" s="1020"/>
      <c r="L107" s="986"/>
      <c r="M107"/>
    </row>
    <row r="108" spans="1:13" ht="27" customHeight="1">
      <c r="A108" s="1019"/>
      <c r="B108" s="1021"/>
      <c r="C108" s="1020"/>
      <c r="D108" s="1020"/>
      <c r="E108" s="1020"/>
      <c r="F108" s="1020"/>
      <c r="G108" s="1020"/>
      <c r="H108" s="1020"/>
      <c r="I108" s="1020"/>
      <c r="J108" s="1020"/>
      <c r="K108" s="1020"/>
      <c r="L108" s="986"/>
      <c r="M108"/>
    </row>
    <row r="109" spans="1:13" ht="27" customHeight="1">
      <c r="A109" s="1140"/>
      <c r="B109" s="1140"/>
      <c r="C109" s="1140"/>
      <c r="D109" s="1140"/>
      <c r="E109" s="1140"/>
      <c r="F109" s="1140"/>
      <c r="G109" s="1140"/>
      <c r="H109" s="1140"/>
      <c r="I109" s="1140"/>
      <c r="J109" s="1140"/>
      <c r="K109" s="1140"/>
      <c r="L109" s="1140"/>
      <c r="M109"/>
    </row>
    <row r="110" spans="1:13" ht="27" customHeight="1">
      <c r="A110" s="1003"/>
      <c r="B110" s="1003"/>
      <c r="C110" s="1003"/>
      <c r="D110" s="1003"/>
      <c r="E110" s="1003"/>
      <c r="F110" s="1003"/>
      <c r="G110" s="1003"/>
      <c r="H110" s="1003"/>
      <c r="I110" s="1003"/>
      <c r="J110" s="1003"/>
      <c r="K110" s="1003"/>
      <c r="L110" s="1003"/>
      <c r="M110"/>
    </row>
    <row r="111" spans="1:13" ht="27" customHeight="1">
      <c r="A111" s="1146"/>
      <c r="B111" s="1146"/>
      <c r="C111" s="986"/>
      <c r="D111" s="986"/>
      <c r="E111" s="986"/>
      <c r="F111" s="986"/>
      <c r="G111" s="986"/>
      <c r="H111" s="986"/>
      <c r="I111" s="986"/>
      <c r="J111" s="986"/>
      <c r="K111" s="986"/>
      <c r="L111" s="986"/>
      <c r="M111"/>
    </row>
    <row r="112" spans="1:13" ht="27" customHeight="1">
      <c r="A112" s="1140"/>
      <c r="B112" s="1140"/>
      <c r="C112" s="1140"/>
      <c r="D112" s="1140"/>
      <c r="E112" s="1140"/>
      <c r="F112" s="1140"/>
      <c r="G112" s="1140"/>
      <c r="H112" s="1140"/>
      <c r="I112" s="1140"/>
      <c r="J112" s="1140"/>
      <c r="K112" s="1140"/>
      <c r="L112" s="1140"/>
      <c r="M112"/>
    </row>
  </sheetData>
  <mergeCells count="44">
    <mergeCell ref="A54:B54"/>
    <mergeCell ref="A55:O55"/>
    <mergeCell ref="A39:M39"/>
    <mergeCell ref="A40:A41"/>
    <mergeCell ref="B40:B41"/>
    <mergeCell ref="A42:M42"/>
    <mergeCell ref="A53:O53"/>
    <mergeCell ref="A11:O11"/>
    <mergeCell ref="A32:M32"/>
    <mergeCell ref="A33:B33"/>
    <mergeCell ref="A35:M35"/>
    <mergeCell ref="A37:E37"/>
    <mergeCell ref="A109:L109"/>
    <mergeCell ref="A111:B111"/>
    <mergeCell ref="A112:L112"/>
    <mergeCell ref="A87:M87"/>
    <mergeCell ref="A88:B88"/>
    <mergeCell ref="A92:M92"/>
    <mergeCell ref="A94:E94"/>
    <mergeCell ref="A96:M96"/>
    <mergeCell ref="A98:M98"/>
    <mergeCell ref="A66:M66"/>
    <mergeCell ref="A56:E56"/>
    <mergeCell ref="A57:K57"/>
    <mergeCell ref="A59:K59"/>
    <mergeCell ref="A60:D60"/>
    <mergeCell ref="E60:H60"/>
    <mergeCell ref="I60:K60"/>
    <mergeCell ref="A63:M63"/>
    <mergeCell ref="A61:D61"/>
    <mergeCell ref="E61:I61"/>
    <mergeCell ref="J61:L61"/>
    <mergeCell ref="A62:K62"/>
    <mergeCell ref="A6:D6"/>
    <mergeCell ref="E6:I6"/>
    <mergeCell ref="J6:L6"/>
    <mergeCell ref="A7:K7"/>
    <mergeCell ref="A8:O8"/>
    <mergeCell ref="A1:E1"/>
    <mergeCell ref="A2:K2"/>
    <mergeCell ref="A4:K4"/>
    <mergeCell ref="A5:D5"/>
    <mergeCell ref="E5:H5"/>
    <mergeCell ref="I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13</vt:i4>
      </vt:variant>
    </vt:vector>
  </HeadingPairs>
  <TitlesOfParts>
    <vt:vector size="36" baseType="lpstr">
      <vt:lpstr>Glance-SOP</vt:lpstr>
      <vt:lpstr>Sheet2</vt:lpstr>
      <vt:lpstr>REVENUE DATA -SOP</vt:lpstr>
      <vt:lpstr>Financial Data -SOP</vt:lpstr>
      <vt:lpstr>LT-SOP-12 Month</vt:lpstr>
      <vt:lpstr>HT-SOP-12 Month</vt:lpstr>
      <vt:lpstr>Sales</vt:lpstr>
      <vt:lpstr>LT-SOP</vt:lpstr>
      <vt:lpstr>HT-SOP</vt:lpstr>
      <vt:lpstr>AT&amp;C LOSS</vt:lpstr>
      <vt:lpstr>31.12.2023</vt:lpstr>
      <vt:lpstr>P&amp;L</vt:lpstr>
      <vt:lpstr>PP 22-23</vt:lpstr>
      <vt:lpstr>DSM upto 10.07</vt:lpstr>
      <vt:lpstr>subsidy allocation</vt:lpstr>
      <vt:lpstr>DSM 4.9.22</vt:lpstr>
      <vt:lpstr>subsidy in P&amp;L</vt:lpstr>
      <vt:lpstr>SLDC Monthly Losses</vt:lpstr>
      <vt:lpstr>TB Dt.01.02.2023</vt:lpstr>
      <vt:lpstr>Annex-A</vt:lpstr>
      <vt:lpstr>PP unit </vt:lpstr>
      <vt:lpstr>DSM upto 3.7.22</vt:lpstr>
      <vt:lpstr>Sheet1</vt:lpstr>
      <vt:lpstr>'31.12.2023'!Print_Area</vt:lpstr>
      <vt:lpstr>'Annex-A'!Print_Area</vt:lpstr>
      <vt:lpstr>'AT&amp;C LOSS'!Print_Area</vt:lpstr>
      <vt:lpstr>'DSM 4.9.22'!Print_Area</vt:lpstr>
      <vt:lpstr>'DSM upto 10.07'!Print_Area</vt:lpstr>
      <vt:lpstr>'DSM upto 3.7.22'!Print_Area</vt:lpstr>
      <vt:lpstr>'Financial Data -SOP'!Print_Area</vt:lpstr>
      <vt:lpstr>'Glance-SOP'!Print_Area</vt:lpstr>
      <vt:lpstr>'P&amp;L'!Print_Area</vt:lpstr>
      <vt:lpstr>'PP 22-23'!Print_Area</vt:lpstr>
      <vt:lpstr>'REVENUE DATA -SOP'!Print_Area</vt:lpstr>
      <vt:lpstr>'subsidy in P&amp;L'!Print_Area</vt:lpstr>
      <vt:lpstr>'31.12.2023'!Print_Titles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Mr.Manish G. Patel</cp:lastModifiedBy>
  <cp:lastPrinted>2024-09-09T09:14:00Z</cp:lastPrinted>
  <dcterms:created xsi:type="dcterms:W3CDTF">2021-10-04T10:04:58Z</dcterms:created>
  <dcterms:modified xsi:type="dcterms:W3CDTF">2024-10-04T08:07:42Z</dcterms:modified>
</cp:coreProperties>
</file>