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NYADAV   05072022\SOP\RIMS\2022-23\Qtr I - II\"/>
    </mc:Choice>
  </mc:AlternateContent>
  <bookViews>
    <workbookView xWindow="0" yWindow="0" windowWidth="20490" windowHeight="7455" activeTab="7"/>
  </bookViews>
  <sheets>
    <sheet name="SHEET-1" sheetId="24" r:id="rId1"/>
    <sheet name="SHEET-2" sheetId="25" r:id="rId2"/>
    <sheet name="SHEET-3" sheetId="26" r:id="rId3"/>
    <sheet name="SHEET-4" sheetId="32" r:id="rId4"/>
    <sheet name="SHEET-5" sheetId="33" r:id="rId5"/>
    <sheet name="SHEET-6" sheetId="30" r:id="rId6"/>
    <sheet name="SHEET-7" sheetId="31" r:id="rId7"/>
    <sheet name="Meter tesing &amp; defectiveQ2" sheetId="36" r:id="rId8"/>
    <sheet name="2022-23-Q2" sheetId="35" r:id="rId9"/>
    <sheet name="Sheet1" sheetId="34"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131" hidden="1">[1]zpF0001!$O$149:$O$158</definedName>
    <definedName name="_132" hidden="1">[1]zpF0001!$A$39:$CB$78</definedName>
    <definedName name="_brh1" hidden="1">{"'Sheet1'!$A$4386:$N$4591"}</definedName>
    <definedName name="_Dist_Bin" localSheetId="8" hidden="1">#REF!</definedName>
    <definedName name="_Dist_Bin" hidden="1">#REF!</definedName>
    <definedName name="_Dist_Values" localSheetId="8" hidden="1">#REF!</definedName>
    <definedName name="_Dist_Values" hidden="1">#REF!</definedName>
    <definedName name="_Key1" hidden="1">[1]zpF0001!$E$39:$E$78</definedName>
    <definedName name="_Key2" hidden="1">[1]zpF0001!$O$149:$O$158</definedName>
    <definedName name="_Order1" hidden="1">255</definedName>
    <definedName name="_Order2" hidden="1">255</definedName>
    <definedName name="_Sort" hidden="1">[1]zpF0001!$A$39:$CB$78</definedName>
    <definedName name="a_4">[5]shp_T_D_drive!$A$1:$AE$31</definedName>
    <definedName name="a_5">[6]shp_T_D_drive!$A$1:$AE$31</definedName>
    <definedName name="a_6">[6]shp_T_D_drive!$A$1:$AE$31</definedName>
    <definedName name="a_8">[5]shp_T_D_drive!$A$1:$AE$31</definedName>
    <definedName name="a_9">[5]shp_T_D_drive!$A$1:$AE$31</definedName>
    <definedName name="aa_4">[5]shp_T_D_drive!$A$1:$AE$31</definedName>
    <definedName name="aa_5">[6]shp_T_D_drive!$A$1:$AE$31</definedName>
    <definedName name="aa_6">[6]shp_T_D_drive!$A$1:$AE$31</definedName>
    <definedName name="aa_8">[5]shp_T_D_drive!$A$1:$AE$31</definedName>
    <definedName name="aa_9">[5]shp_T_D_drive!$A$1:$AE$31</definedName>
    <definedName name="aaaa" localSheetId="8" hidden="1">#REF!</definedName>
    <definedName name="aaaa" hidden="1">#REF!</definedName>
    <definedName name="ann" hidden="1">{"'Sheet1'!$A$4386:$N$4591"}</definedName>
    <definedName name="AprilMay" hidden="1">{"'Sheet1'!$A$4386:$N$4591"}</definedName>
    <definedName name="as_4">[5]shp_T_D_drive!$A$1:$AE$31</definedName>
    <definedName name="as_5">[6]shp_T_D_drive!$A$1:$AE$31</definedName>
    <definedName name="as_6">[6]shp_T_D_drive!$A$1:$AE$31</definedName>
    <definedName name="as_8">[5]shp_T_D_drive!$A$1:$AE$31</definedName>
    <definedName name="as_9">[5]shp_T_D_drive!$A$1:$AE$31</definedName>
    <definedName name="brh" hidden="1">{"'Sheet1'!$A$4386:$N$4591"}</definedName>
    <definedName name="_xlnm.Database" localSheetId="7">#REF!</definedName>
    <definedName name="_xlnm.Database">#REF!</definedName>
    <definedName name="detail">[5]shp_T_D_drive!$A$1:$AE$31</definedName>
    <definedName name="dfd" hidden="1">{"'Sheet1'!$A$4386:$N$4591"}</definedName>
    <definedName name="DID" hidden="1">{"'Sheet1'!$A$4386:$N$4591"}</definedName>
    <definedName name="DIS" hidden="1">{"'Sheet1'!$A$4386:$N$4591"}</definedName>
    <definedName name="gdl" hidden="1">{"'Sheet1'!$A$4386:$N$4591"}</definedName>
    <definedName name="HT" hidden="1">{"'Sheet1'!$A$4386:$N$4591"}</definedName>
    <definedName name="HTML_CodePage" hidden="1">1252</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hidden="1">{"'Sheet1'!$A$4386:$N$4591"}</definedName>
    <definedName name="jjj" hidden="1">{"'Sheet1'!$A$4386:$N$4591"}</definedName>
    <definedName name="Meh" hidden="1">{"'Sheet1'!$A$4386:$N$4591"}</definedName>
    <definedName name="MISPP" hidden="1">{"'Sheet1'!$A$4386:$N$4591"}</definedName>
    <definedName name="MMB" hidden="1">'[3]mpmla wise pp0001'!$A$166:$A$172</definedName>
    <definedName name="po" hidden="1">[4]zpF0001!$E$39:$E$78</definedName>
    <definedName name="_xlnm.Print_Area" localSheetId="8">'2022-23-Q2'!$B$1:$L$30</definedName>
    <definedName name="_xlnm.Print_Area" localSheetId="7">'Meter tesing &amp; defectiveQ2'!$B$1:$I$12</definedName>
    <definedName name="_xlnm.Print_Area" localSheetId="0">'SHEET-1'!$A$1:$I$44</definedName>
    <definedName name="_xlnm.Print_Area" localSheetId="2">'SHEET-3'!$A$1:$I$42</definedName>
    <definedName name="_xlnm.Print_Area" localSheetId="3">'SHEET-4'!$A$1:$I$45</definedName>
    <definedName name="_xlnm.Print_Area" localSheetId="4">'SHEET-5'!$A$1:$I$43</definedName>
    <definedName name="_xlnm.Print_Area" localSheetId="5">'SHEET-6'!$A$1:$I$58</definedName>
    <definedName name="_xlnm.Print_Area" localSheetId="6">'SHEET-7'!$A$1:$E$37</definedName>
    <definedName name="q_4">[8]shp_T_D_drive!$A$1:$AE$31</definedName>
    <definedName name="q_5">[4]shp_T_D_drive!$A$1:$AE$31</definedName>
    <definedName name="q_6">[4]shp_T_D_drive!$A$1:$AE$31</definedName>
    <definedName name="q_8">[8]shp_T_D_drive!$A$1:$AE$31</definedName>
    <definedName name="q_9">[8]shp_T_D_drive!$A$1:$AE$31</definedName>
    <definedName name="ss_4">[5]shp_T_D_drive!$A$1:$AE$31</definedName>
    <definedName name="ss_5">[6]shp_T_D_drive!$A$1:$AE$31</definedName>
    <definedName name="ss_6">[6]shp_T_D_drive!$A$1:$AE$31</definedName>
    <definedName name="ss_8">[5]shp_T_D_drive!$A$1:$AE$31</definedName>
    <definedName name="ss_9">[5]shp_T_D_drive!$A$1:$AE$31</definedName>
    <definedName name="t_4">[5]shp_T_D_drive!$A$1:$AE$31</definedName>
    <definedName name="t_5">[6]shp_T_D_drive!$A$1:$AE$31</definedName>
    <definedName name="t_6">[6]shp_T_D_drive!$A$1:$AE$31</definedName>
    <definedName name="t_8">[5]shp_T_D_drive!$A$1:$AE$31</definedName>
    <definedName name="t_9">[5]shp_T_D_drive!$A$1:$AE$31</definedName>
    <definedName name="uyuy" localSheetId="8" hidden="1">#REF!</definedName>
    <definedName name="uyuy" hidden="1">#REF!</definedName>
  </definedNames>
  <calcPr calcId="152511"/>
</workbook>
</file>

<file path=xl/calcChain.xml><?xml version="1.0" encoding="utf-8"?>
<calcChain xmlns="http://schemas.openxmlformats.org/spreadsheetml/2006/main">
  <c r="H11" i="36" l="1"/>
  <c r="E11" i="36"/>
  <c r="F10" i="36"/>
  <c r="G10" i="36" s="1"/>
  <c r="I10" i="36" s="1"/>
  <c r="F9" i="36"/>
  <c r="F11" i="36" s="1"/>
  <c r="H7" i="36"/>
  <c r="F7" i="36"/>
  <c r="G9" i="36" l="1"/>
  <c r="I9" i="36" l="1"/>
  <c r="I11" i="36" s="1"/>
  <c r="G11" i="36"/>
  <c r="K29" i="35" l="1"/>
  <c r="I29" i="35"/>
  <c r="H29" i="35"/>
  <c r="D29" i="35"/>
  <c r="K20" i="35"/>
  <c r="I20" i="35"/>
  <c r="H20" i="35"/>
  <c r="D20" i="35"/>
  <c r="H13" i="35"/>
  <c r="H22" i="35" s="1"/>
  <c r="D13" i="35"/>
  <c r="D22" i="35" s="1"/>
  <c r="K11" i="35"/>
  <c r="I11" i="35"/>
  <c r="H11" i="35"/>
  <c r="E11" i="35"/>
  <c r="D11" i="35"/>
  <c r="C26" i="31" l="1"/>
  <c r="C31" i="31"/>
  <c r="C11" i="31"/>
  <c r="C12" i="31"/>
  <c r="C28" i="31"/>
  <c r="C29" i="31"/>
  <c r="C24" i="31"/>
  <c r="C23" i="31"/>
  <c r="D26" i="26"/>
  <c r="D15" i="26"/>
  <c r="E30" i="31" l="1"/>
  <c r="D23" i="32"/>
  <c r="D19" i="32"/>
  <c r="D14" i="32" l="1"/>
  <c r="D23" i="33" l="1"/>
  <c r="D21" i="33"/>
  <c r="D19" i="33"/>
  <c r="D18" i="33"/>
  <c r="D14" i="33"/>
  <c r="D38" i="32"/>
  <c r="D36" i="32"/>
  <c r="D34" i="32"/>
  <c r="D33" i="32"/>
  <c r="D29" i="32"/>
  <c r="D28" i="26"/>
  <c r="D27" i="26"/>
  <c r="D22" i="26"/>
  <c r="D20" i="26"/>
  <c r="D19" i="26"/>
  <c r="D18" i="26"/>
  <c r="D17" i="26"/>
  <c r="D16" i="26"/>
  <c r="D27" i="24"/>
  <c r="D17" i="24"/>
  <c r="G32" i="30" l="1"/>
  <c r="F32" i="30"/>
  <c r="G17" i="30"/>
  <c r="F17" i="30"/>
  <c r="F23" i="33"/>
  <c r="F21" i="33"/>
  <c r="F19" i="33"/>
  <c r="F18" i="33"/>
  <c r="F14" i="33"/>
  <c r="F38" i="32"/>
  <c r="F36" i="32"/>
  <c r="F34" i="32"/>
  <c r="F33" i="32"/>
  <c r="F29" i="32"/>
  <c r="F23" i="32"/>
  <c r="G23" i="32" s="1"/>
  <c r="G21" i="32"/>
  <c r="F19" i="32"/>
  <c r="G19" i="32" s="1"/>
  <c r="G18" i="32"/>
  <c r="F14" i="32"/>
  <c r="G14" i="32" s="1"/>
  <c r="F15" i="26"/>
  <c r="F27" i="24"/>
  <c r="F17" i="24"/>
  <c r="E32" i="30" l="1"/>
  <c r="D32" i="30"/>
  <c r="E17" i="30"/>
  <c r="D17" i="30"/>
  <c r="E23" i="32"/>
  <c r="D22" i="32"/>
  <c r="E22" i="32" s="1"/>
  <c r="E21" i="32"/>
  <c r="E19" i="32"/>
  <c r="E18" i="32"/>
  <c r="E16" i="32"/>
  <c r="E15" i="32"/>
  <c r="E14" i="32"/>
  <c r="E17" i="32" s="1"/>
  <c r="D17" i="32"/>
  <c r="D24" i="32" l="1"/>
  <c r="E24" i="32" s="1"/>
  <c r="D25" i="32" l="1"/>
  <c r="E25" i="32" s="1"/>
  <c r="F32" i="26"/>
  <c r="G37" i="32"/>
  <c r="G39" i="32" s="1"/>
  <c r="G30" i="32"/>
  <c r="G32" i="32" s="1"/>
  <c r="F32" i="32"/>
  <c r="F22" i="32"/>
  <c r="F24" i="32" s="1"/>
  <c r="G24" i="32" s="1"/>
  <c r="G16" i="32"/>
  <c r="G15" i="32"/>
  <c r="G17" i="32"/>
  <c r="G22" i="33"/>
  <c r="G24" i="33" s="1"/>
  <c r="F22" i="33"/>
  <c r="F24" i="33" s="1"/>
  <c r="G17" i="33"/>
  <c r="F17" i="33"/>
  <c r="G22" i="32" l="1"/>
  <c r="F37" i="32"/>
  <c r="F39" i="32" s="1"/>
  <c r="F17" i="32"/>
  <c r="F25" i="32" s="1"/>
  <c r="G25" i="32" s="1"/>
  <c r="E26" i="31"/>
  <c r="G16" i="26"/>
  <c r="F16" i="26" s="1"/>
  <c r="D32" i="26" l="1"/>
  <c r="G40" i="32" l="1"/>
  <c r="F25" i="33"/>
  <c r="F25" i="24"/>
  <c r="F26" i="24" s="1"/>
  <c r="F28" i="24" s="1"/>
  <c r="F29" i="24" s="1"/>
  <c r="G22" i="24"/>
  <c r="G25" i="24" s="1"/>
  <c r="G26" i="24" s="1"/>
  <c r="G28" i="24" s="1"/>
  <c r="G29" i="24" s="1"/>
  <c r="F22" i="24"/>
  <c r="D33" i="31"/>
  <c r="D15" i="31"/>
  <c r="G25" i="33" l="1"/>
  <c r="G32" i="24" s="1"/>
  <c r="F32" i="24" s="1"/>
  <c r="D35" i="31"/>
  <c r="F40" i="32"/>
  <c r="E25" i="26" l="1"/>
  <c r="D25" i="26" s="1"/>
  <c r="G25" i="26"/>
  <c r="F25" i="26" s="1"/>
  <c r="G21" i="26"/>
  <c r="F21" i="26" s="1"/>
  <c r="I25" i="26" l="1"/>
  <c r="F38" i="33"/>
  <c r="F29" i="33"/>
  <c r="H25" i="26" l="1"/>
  <c r="G17" i="26" l="1"/>
  <c r="F17" i="26" s="1"/>
  <c r="G18" i="26"/>
  <c r="F18" i="26" s="1"/>
  <c r="G19" i="26"/>
  <c r="F19" i="26" s="1"/>
  <c r="G20" i="26"/>
  <c r="F20" i="26" s="1"/>
  <c r="G53" i="30" l="1"/>
  <c r="G51" i="30"/>
  <c r="G49" i="30"/>
  <c r="G48" i="30"/>
  <c r="G44" i="30"/>
  <c r="D53" i="30"/>
  <c r="D51" i="30"/>
  <c r="D49" i="30"/>
  <c r="D48" i="30"/>
  <c r="E49" i="30"/>
  <c r="E48" i="30"/>
  <c r="E53" i="30"/>
  <c r="E51" i="30"/>
  <c r="G28" i="26" l="1"/>
  <c r="F28" i="26" s="1"/>
  <c r="G27" i="26"/>
  <c r="F27" i="26" s="1"/>
  <c r="G22" i="26"/>
  <c r="F22" i="26" s="1"/>
  <c r="G38" i="33"/>
  <c r="G36" i="33"/>
  <c r="G34" i="33"/>
  <c r="G33" i="33"/>
  <c r="E21" i="26" l="1"/>
  <c r="E22" i="33"/>
  <c r="E24" i="33" s="1"/>
  <c r="D29" i="26" l="1"/>
  <c r="E29" i="26"/>
  <c r="H22" i="26"/>
  <c r="I22" i="26"/>
  <c r="F34" i="26"/>
  <c r="G29" i="33"/>
  <c r="G31" i="33"/>
  <c r="F33" i="33"/>
  <c r="F34" i="33"/>
  <c r="F36" i="33"/>
  <c r="G54" i="30" l="1"/>
  <c r="G52" i="30"/>
  <c r="G39" i="33"/>
  <c r="G37" i="33"/>
  <c r="F23" i="26"/>
  <c r="F30" i="26" s="1"/>
  <c r="G23" i="26"/>
  <c r="G30" i="26" s="1"/>
  <c r="F32" i="33"/>
  <c r="G47" i="30"/>
  <c r="F37" i="33" l="1"/>
  <c r="F39" i="33"/>
  <c r="G55" i="30"/>
  <c r="G32" i="33"/>
  <c r="F34" i="24" l="1"/>
  <c r="G34" i="24"/>
  <c r="G40" i="33"/>
  <c r="F35" i="24" l="1"/>
  <c r="F37" i="24" s="1"/>
  <c r="F38" i="24" s="1"/>
  <c r="G35" i="24"/>
  <c r="G37" i="24" s="1"/>
  <c r="G38" i="24" s="1"/>
  <c r="G26" i="26"/>
  <c r="F26" i="26" s="1"/>
  <c r="D25" i="24"/>
  <c r="F29" i="26" l="1"/>
  <c r="H29" i="26" s="1"/>
  <c r="G29" i="26"/>
  <c r="I29" i="26" s="1"/>
  <c r="D26" i="24"/>
  <c r="F14" i="25"/>
  <c r="F14" i="26" s="1"/>
  <c r="F13" i="32" s="1"/>
  <c r="F13" i="33" s="1"/>
  <c r="F13" i="30" s="1"/>
  <c r="D14" i="25"/>
  <c r="D14" i="26" s="1"/>
  <c r="D13" i="32" s="1"/>
  <c r="D13" i="33" s="1"/>
  <c r="D13" i="30" s="1"/>
  <c r="F21" i="25" l="1"/>
  <c r="G21" i="25"/>
  <c r="G16" i="25"/>
  <c r="F16" i="25"/>
  <c r="E34" i="26" l="1"/>
  <c r="E33" i="26"/>
  <c r="E30" i="32" l="1"/>
  <c r="D28" i="24"/>
  <c r="D29" i="24" s="1"/>
  <c r="E22" i="24"/>
  <c r="D22" i="24"/>
  <c r="D16" i="25" s="1"/>
  <c r="H15" i="32"/>
  <c r="E16" i="25" l="1"/>
  <c r="E25" i="24"/>
  <c r="E26" i="24" s="1"/>
  <c r="E28" i="24" s="1"/>
  <c r="E29" i="24" s="1"/>
  <c r="D23" i="26"/>
  <c r="D21" i="25" s="1"/>
  <c r="E23" i="26" l="1"/>
  <c r="E21" i="25" s="1"/>
  <c r="P32" i="33"/>
  <c r="E11" i="31"/>
  <c r="P30" i="33"/>
  <c r="P31" i="33"/>
  <c r="P33" i="33"/>
  <c r="P34" i="33"/>
  <c r="P35" i="33"/>
  <c r="P36" i="33"/>
  <c r="P38" i="33"/>
  <c r="P29" i="33"/>
  <c r="Q29" i="33"/>
  <c r="G24" i="25"/>
  <c r="P37" i="33" l="1"/>
  <c r="F24" i="25"/>
  <c r="E17" i="33"/>
  <c r="D22" i="33"/>
  <c r="E37" i="32"/>
  <c r="E32" i="32"/>
  <c r="D32" i="32"/>
  <c r="E30" i="26"/>
  <c r="H21" i="26"/>
  <c r="D44" i="30"/>
  <c r="E44" i="30"/>
  <c r="I21" i="26"/>
  <c r="I29" i="24"/>
  <c r="E39" i="32" l="1"/>
  <c r="E54" i="30" s="1"/>
  <c r="E52" i="30"/>
  <c r="E47" i="30"/>
  <c r="P39" i="33"/>
  <c r="E32" i="33"/>
  <c r="E24" i="25" s="1"/>
  <c r="P40" i="33"/>
  <c r="E25" i="33"/>
  <c r="H22" i="30"/>
  <c r="H23" i="30"/>
  <c r="H24" i="30"/>
  <c r="H25" i="30"/>
  <c r="H21" i="30"/>
  <c r="H15" i="30"/>
  <c r="H17" i="30"/>
  <c r="H18" i="30"/>
  <c r="C33" i="31"/>
  <c r="C15" i="31"/>
  <c r="H29" i="24"/>
  <c r="F44" i="30"/>
  <c r="E32" i="24" l="1"/>
  <c r="D32" i="24" s="1"/>
  <c r="E40" i="32"/>
  <c r="E55" i="30" s="1"/>
  <c r="C35" i="31"/>
  <c r="E35" i="31" s="1"/>
  <c r="E46" i="30"/>
  <c r="D38" i="33"/>
  <c r="D36" i="33"/>
  <c r="D34" i="33"/>
  <c r="D33" i="33"/>
  <c r="D29" i="33"/>
  <c r="E34" i="33"/>
  <c r="E33" i="33"/>
  <c r="D17" i="33"/>
  <c r="E29" i="33"/>
  <c r="E36" i="33"/>
  <c r="D37" i="32"/>
  <c r="D52" i="30" s="1"/>
  <c r="D47" i="30"/>
  <c r="F53" i="30"/>
  <c r="F51" i="30"/>
  <c r="F49" i="30"/>
  <c r="F47" i="30"/>
  <c r="F48" i="30"/>
  <c r="F25" i="25"/>
  <c r="F40" i="33"/>
  <c r="F26" i="25" s="1"/>
  <c r="E38" i="33" l="1"/>
  <c r="D39" i="32"/>
  <c r="E37" i="33"/>
  <c r="D32" i="33"/>
  <c r="D24" i="25" s="1"/>
  <c r="F54" i="30"/>
  <c r="F52" i="30"/>
  <c r="G25" i="25"/>
  <c r="G26" i="25"/>
  <c r="D54" i="30" l="1"/>
  <c r="F55" i="30"/>
  <c r="D40" i="32"/>
  <c r="E39" i="33"/>
  <c r="E25" i="25" s="1"/>
  <c r="D55" i="30" l="1"/>
  <c r="I55" i="30"/>
  <c r="E40" i="33"/>
  <c r="E26" i="25" s="1"/>
  <c r="H58" i="26"/>
  <c r="E67" i="32" l="1"/>
  <c r="D67" i="32"/>
  <c r="F66" i="32"/>
  <c r="F65" i="32"/>
  <c r="F67" i="32" l="1"/>
  <c r="D68" i="30" l="1"/>
  <c r="G58" i="26" l="1"/>
  <c r="F58" i="26"/>
  <c r="E58" i="26"/>
  <c r="D57" i="26"/>
  <c r="I28" i="26" l="1"/>
  <c r="I27" i="26"/>
  <c r="E25" i="31"/>
  <c r="I19" i="26"/>
  <c r="H18" i="26"/>
  <c r="E29" i="31"/>
  <c r="E23" i="31"/>
  <c r="N30" i="33"/>
  <c r="O30" i="33"/>
  <c r="N31" i="33"/>
  <c r="O31" i="33"/>
  <c r="N33" i="33"/>
  <c r="O33" i="33"/>
  <c r="N34" i="33"/>
  <c r="O34" i="33"/>
  <c r="N35" i="33"/>
  <c r="O35" i="33"/>
  <c r="N36" i="33"/>
  <c r="O36" i="33"/>
  <c r="N38" i="33"/>
  <c r="O38" i="33"/>
  <c r="O29" i="33"/>
  <c r="N29" i="33"/>
  <c r="O37" i="33"/>
  <c r="H21" i="25"/>
  <c r="H17" i="26"/>
  <c r="I28" i="24"/>
  <c r="H22" i="24"/>
  <c r="H25" i="24"/>
  <c r="H26" i="24"/>
  <c r="H27" i="24"/>
  <c r="H28" i="24"/>
  <c r="I38" i="33"/>
  <c r="H38" i="33"/>
  <c r="I36" i="33"/>
  <c r="H36" i="33"/>
  <c r="I34" i="33"/>
  <c r="H34" i="33"/>
  <c r="I33" i="33"/>
  <c r="H33" i="33"/>
  <c r="I30" i="33"/>
  <c r="H30" i="33"/>
  <c r="I29" i="33"/>
  <c r="H29" i="33"/>
  <c r="I23" i="33"/>
  <c r="H23" i="33"/>
  <c r="I21" i="33"/>
  <c r="H21" i="33"/>
  <c r="I19" i="33"/>
  <c r="H19" i="33"/>
  <c r="I18" i="33"/>
  <c r="H18" i="33"/>
  <c r="I15" i="33"/>
  <c r="H15" i="33"/>
  <c r="I14" i="33"/>
  <c r="H14" i="33"/>
  <c r="D67" i="26"/>
  <c r="E59" i="32"/>
  <c r="I27" i="24"/>
  <c r="H28" i="26"/>
  <c r="I32" i="26"/>
  <c r="H32" i="26"/>
  <c r="I21" i="25"/>
  <c r="I26" i="25"/>
  <c r="I25" i="25"/>
  <c r="I24" i="25"/>
  <c r="H24" i="25"/>
  <c r="I16" i="25"/>
  <c r="H16" i="25"/>
  <c r="D59" i="32"/>
  <c r="I17" i="24"/>
  <c r="H17" i="24"/>
  <c r="H27" i="26"/>
  <c r="E14" i="31"/>
  <c r="E13" i="31"/>
  <c r="E12" i="31"/>
  <c r="I25" i="24"/>
  <c r="E19" i="31"/>
  <c r="H15" i="26"/>
  <c r="I15" i="26"/>
  <c r="H14" i="30"/>
  <c r="I14" i="30"/>
  <c r="I15" i="30"/>
  <c r="I17" i="30"/>
  <c r="I18" i="30"/>
  <c r="H19" i="30"/>
  <c r="I19" i="30"/>
  <c r="I21" i="30"/>
  <c r="I22" i="30"/>
  <c r="I23" i="30"/>
  <c r="I24" i="30"/>
  <c r="I25" i="30"/>
  <c r="H29" i="30"/>
  <c r="I29" i="30"/>
  <c r="H30" i="30"/>
  <c r="I30" i="30"/>
  <c r="H32" i="30"/>
  <c r="I32" i="30"/>
  <c r="H33" i="30"/>
  <c r="I33" i="30"/>
  <c r="H34" i="30"/>
  <c r="I34" i="30"/>
  <c r="H36" i="30"/>
  <c r="I36" i="30"/>
  <c r="H37" i="30"/>
  <c r="I37" i="30"/>
  <c r="H38" i="30"/>
  <c r="I38" i="30"/>
  <c r="H39" i="30"/>
  <c r="I39" i="30"/>
  <c r="H40" i="30"/>
  <c r="I40" i="30"/>
  <c r="H44" i="30"/>
  <c r="I44" i="30"/>
  <c r="H45" i="30"/>
  <c r="I45" i="30"/>
  <c r="H48" i="30"/>
  <c r="I48" i="30"/>
  <c r="H49" i="30"/>
  <c r="I49" i="30"/>
  <c r="H51" i="30"/>
  <c r="I51" i="30"/>
  <c r="H53" i="30"/>
  <c r="I53" i="30"/>
  <c r="H14" i="32"/>
  <c r="I14" i="32"/>
  <c r="I15" i="32"/>
  <c r="H18" i="32"/>
  <c r="I18" i="32"/>
  <c r="H19" i="32"/>
  <c r="I19" i="32"/>
  <c r="H21" i="32"/>
  <c r="I21" i="32"/>
  <c r="H23" i="32"/>
  <c r="I23" i="32"/>
  <c r="H29" i="32"/>
  <c r="I29" i="32"/>
  <c r="H30" i="32"/>
  <c r="I30" i="32"/>
  <c r="H33" i="32"/>
  <c r="I33" i="32"/>
  <c r="H34" i="32"/>
  <c r="I34" i="32"/>
  <c r="H36" i="32"/>
  <c r="I36" i="32"/>
  <c r="I38" i="32"/>
  <c r="I22" i="24"/>
  <c r="H32" i="32"/>
  <c r="I22" i="32"/>
  <c r="I17" i="32"/>
  <c r="H22" i="32"/>
  <c r="H37" i="32"/>
  <c r="I37" i="32"/>
  <c r="H38" i="32"/>
  <c r="H17" i="32"/>
  <c r="I17" i="33"/>
  <c r="H17" i="33"/>
  <c r="I22" i="33"/>
  <c r="I24" i="33" l="1"/>
  <c r="I25" i="33"/>
  <c r="I25" i="32"/>
  <c r="I24" i="32"/>
  <c r="H24" i="32"/>
  <c r="H25" i="32"/>
  <c r="H19" i="26"/>
  <c r="I39" i="32"/>
  <c r="O39" i="33"/>
  <c r="N32" i="33"/>
  <c r="E28" i="31"/>
  <c r="I20" i="26"/>
  <c r="I18" i="26"/>
  <c r="I16" i="26"/>
  <c r="E24" i="31"/>
  <c r="H16" i="26"/>
  <c r="H20" i="26"/>
  <c r="I17" i="26"/>
  <c r="I26" i="24"/>
  <c r="I30" i="26" l="1"/>
  <c r="I32" i="33"/>
  <c r="H32" i="33"/>
  <c r="I52" i="30"/>
  <c r="H52" i="30"/>
  <c r="I47" i="30"/>
  <c r="H47" i="30"/>
  <c r="I37" i="33"/>
  <c r="I32" i="32"/>
  <c r="O32" i="33"/>
  <c r="H39" i="32"/>
  <c r="I23" i="26"/>
  <c r="I39" i="33" l="1"/>
  <c r="I54" i="30"/>
  <c r="H54" i="30"/>
  <c r="O40" i="33"/>
  <c r="I40" i="32"/>
  <c r="F58" i="32"/>
  <c r="F57" i="32"/>
  <c r="H40" i="32"/>
  <c r="E33" i="31"/>
  <c r="H55" i="30" l="1"/>
  <c r="I40" i="33"/>
  <c r="E15" i="31" l="1"/>
  <c r="I26" i="26"/>
  <c r="N37" i="33"/>
  <c r="H22" i="33"/>
  <c r="D37" i="33"/>
  <c r="H37" i="33" s="1"/>
  <c r="D24" i="33"/>
  <c r="H24" i="33" s="1"/>
  <c r="D39" i="33" l="1"/>
  <c r="N39" i="33"/>
  <c r="D25" i="33"/>
  <c r="H26" i="26" l="1"/>
  <c r="H39" i="33"/>
  <c r="D25" i="25"/>
  <c r="H25" i="25" s="1"/>
  <c r="H25" i="33"/>
  <c r="D40" i="33"/>
  <c r="N40" i="33"/>
  <c r="H23" i="26"/>
  <c r="D30" i="26"/>
  <c r="H30" i="26" s="1"/>
  <c r="D34" i="24" l="1"/>
  <c r="H32" i="24"/>
  <c r="H40" i="33"/>
  <c r="D26" i="25"/>
  <c r="H26" i="25" s="1"/>
  <c r="D35" i="24" l="1"/>
  <c r="D27" i="33"/>
  <c r="D37" i="24"/>
  <c r="H37" i="24" s="1"/>
  <c r="H35" i="24"/>
  <c r="H34" i="24"/>
  <c r="E34" i="24"/>
  <c r="I32" i="24"/>
  <c r="E35" i="24" l="1"/>
  <c r="E27" i="33"/>
  <c r="E37" i="24"/>
  <c r="I37" i="24" s="1"/>
  <c r="I35" i="24"/>
  <c r="D38" i="24"/>
  <c r="H38" i="24" s="1"/>
  <c r="I34" i="24"/>
  <c r="E38" i="24" l="1"/>
  <c r="I38" i="24" s="1"/>
</calcChain>
</file>

<file path=xl/sharedStrings.xml><?xml version="1.0" encoding="utf-8"?>
<sst xmlns="http://schemas.openxmlformats.org/spreadsheetml/2006/main" count="663" uniqueCount="291">
  <si>
    <t>MADHYA GUJARAT VIJ COMPANY LIMITED</t>
  </si>
  <si>
    <t>Industrial</t>
  </si>
  <si>
    <t>Residential</t>
  </si>
  <si>
    <t>Commercial</t>
  </si>
  <si>
    <t>H. T.</t>
  </si>
  <si>
    <t>Agricultural</t>
  </si>
  <si>
    <t>[B]</t>
  </si>
  <si>
    <t>Liecence</t>
  </si>
  <si>
    <t>Total H.T. + E.H.T.</t>
  </si>
  <si>
    <t>Other [Specify]</t>
  </si>
  <si>
    <t>Total L.T. Excluding Agricultural</t>
  </si>
  <si>
    <t>Total L. T. Including Agricultural</t>
  </si>
  <si>
    <t>Total H.T. + E.H.T. + L. T.</t>
  </si>
  <si>
    <t>Rs. In Crore</t>
  </si>
  <si>
    <t>Quarterly</t>
  </si>
  <si>
    <t>Cummulative</t>
  </si>
  <si>
    <t>Current Year</t>
  </si>
  <si>
    <t>% Change</t>
  </si>
  <si>
    <t>SALES REALISATION</t>
  </si>
  <si>
    <t>SALES REVENUE AMOUNT AND PAISE / UNIT</t>
  </si>
  <si>
    <t>III - SALES AND REVENUE DATA</t>
  </si>
  <si>
    <t>Paise / kwh</t>
  </si>
  <si>
    <t>[ 5 ]</t>
  </si>
  <si>
    <t>M.KWH</t>
  </si>
  <si>
    <t>NOS. OF CONSUMERS AND UNIT SOLD</t>
  </si>
  <si>
    <t>Employees Cost</t>
  </si>
  <si>
    <t>Interest</t>
  </si>
  <si>
    <t>Repairs and Maintenance</t>
  </si>
  <si>
    <t>Depreciation</t>
  </si>
  <si>
    <t>Admin. And General Expenditure</t>
  </si>
  <si>
    <t>Total Cost Excluding Profit / Return</t>
  </si>
  <si>
    <t>Capital Expenditure</t>
  </si>
  <si>
    <t>New Long Term Borrowings</t>
  </si>
  <si>
    <t>Agricultural Subsidy Received</t>
  </si>
  <si>
    <t>%</t>
  </si>
  <si>
    <t>Paise / KWH</t>
  </si>
  <si>
    <t>UNIT SOLD PER CONSUMER</t>
  </si>
  <si>
    <t>KWH</t>
  </si>
  <si>
    <t>[A]</t>
  </si>
  <si>
    <t>SALES REALISATION - FIXED CHARGES</t>
  </si>
  <si>
    <t>SALES REVENUE FIXED AND ENERGY CHARGE PAISE / UNIT AND UNITS SOLD PER CONSUMER</t>
  </si>
  <si>
    <t>FINANCIAL DATA - 3</t>
  </si>
  <si>
    <t>I - KEY PARAMETERS</t>
  </si>
  <si>
    <t>[ 3 ]</t>
  </si>
  <si>
    <t>NOS. OF UNITS SOLD</t>
  </si>
  <si>
    <t>[C]</t>
  </si>
  <si>
    <t>[D]</t>
  </si>
  <si>
    <t>POWER PURCHASE</t>
  </si>
  <si>
    <t>Total Purchase of Power</t>
  </si>
  <si>
    <t>ENERGY BALANCE SHEET</t>
  </si>
  <si>
    <t>Total Generation + Purchase of Power</t>
  </si>
  <si>
    <t>Units Sent Out</t>
  </si>
  <si>
    <t>T &amp; D Loss [4] / [2] * 100</t>
  </si>
  <si>
    <t>SALES, BILLING AND REALISATION</t>
  </si>
  <si>
    <t>Billed [Metered + Unmetered] with E. D.</t>
  </si>
  <si>
    <t>Billed - Theft Assessment</t>
  </si>
  <si>
    <t>Total Billed [1 + 2]</t>
  </si>
  <si>
    <t>Amount realised [Metered + Unmetered] with E. D.</t>
  </si>
  <si>
    <t>Amount realised against Theft of Energy</t>
  </si>
  <si>
    <t>Total Amount realised [4 + 5]</t>
  </si>
  <si>
    <t>Amount realised as % of amount billed [6] / [3]</t>
  </si>
  <si>
    <t>MUS</t>
  </si>
  <si>
    <t>Rs. In Crores</t>
  </si>
  <si>
    <t>I</t>
  </si>
  <si>
    <t>II</t>
  </si>
  <si>
    <t>III</t>
  </si>
  <si>
    <t>Previous Year</t>
  </si>
  <si>
    <t>POWER SUPPLY POSITION</t>
  </si>
  <si>
    <t>[ 1 ]</t>
  </si>
  <si>
    <t>Cost at Bus Bar</t>
  </si>
  <si>
    <t>Costo of Supply at EHT [at 66 KV]</t>
  </si>
  <si>
    <t>Cost of Supply at LT [at 11 KV]</t>
  </si>
  <si>
    <t>Cost of Supply at HT [at 11 KV]</t>
  </si>
  <si>
    <t>L. T.</t>
  </si>
  <si>
    <t>Average Sales Realisation</t>
  </si>
  <si>
    <t>Special Observation on above points</t>
  </si>
  <si>
    <t>COST OF SUPPLY</t>
  </si>
  <si>
    <t>Rs. /KWH</t>
  </si>
  <si>
    <t>COST OF SUPPLY - 2</t>
  </si>
  <si>
    <t>II - KEY PARAMETERS</t>
  </si>
  <si>
    <t>[ 2 ]</t>
  </si>
  <si>
    <t>Nos.</t>
  </si>
  <si>
    <t>Railway</t>
  </si>
  <si>
    <t>Previous Years</t>
  </si>
  <si>
    <t>REVENUE</t>
  </si>
  <si>
    <t>Sale of Electricity</t>
  </si>
  <si>
    <t>Misc. Revenue Recovery</t>
  </si>
  <si>
    <t>Other Income</t>
  </si>
  <si>
    <t>EXPENSES</t>
  </si>
  <si>
    <t>Operating Expenses</t>
  </si>
  <si>
    <t>Fixed</t>
  </si>
  <si>
    <t>Variable</t>
  </si>
  <si>
    <t>Fuel Expense</t>
  </si>
  <si>
    <t>Employee Cost</t>
  </si>
  <si>
    <t>Administrative and General Expenses</t>
  </si>
  <si>
    <t>Other Operating Costs</t>
  </si>
  <si>
    <t>Other Expenses [Prior Period]</t>
  </si>
  <si>
    <t>Less : Expenses Capitalized</t>
  </si>
  <si>
    <t>Surplus [deficit] excluding rate of return</t>
  </si>
  <si>
    <t>IV - FINANCIAL DATA</t>
  </si>
  <si>
    <t>NOS. OF CONSUMERS [WITHOUT PDC]</t>
  </si>
  <si>
    <t>Railways</t>
  </si>
  <si>
    <t>Agricultural [Metered + Unmetered]</t>
  </si>
  <si>
    <t>SALES REALISATION - ENERGY CHARGES</t>
  </si>
  <si>
    <t>Total H.T. + E.H.T. + L. T. [WITHOUT P.D.C.]</t>
  </si>
  <si>
    <t>Current Year [Provisional]</t>
  </si>
  <si>
    <t>SALES REALISATION WITHOUT E. D.</t>
  </si>
  <si>
    <t>Sales Amount [Without E. D.] [Incl. T.C/FCA]</t>
  </si>
  <si>
    <t>Agricultural [Including Tariff Comp.]/[FPPPA]</t>
  </si>
  <si>
    <t>Power Purchase Costs net of trading Credit</t>
  </si>
  <si>
    <t>Purchase from GUVNL [Net of Trading Credit &amp; UI]</t>
  </si>
  <si>
    <t>Metered + Estimated Unmetered &amp; Unbilled Sales</t>
  </si>
  <si>
    <t>Purchase from Central Sector</t>
  </si>
  <si>
    <t>[a] Share</t>
  </si>
  <si>
    <t>[b] Actual Purchase</t>
  </si>
  <si>
    <t>T&amp;D Losses [2-3]</t>
  </si>
  <si>
    <t>6a</t>
  </si>
  <si>
    <t>Expenses Capitalized</t>
  </si>
  <si>
    <t>Cost of Power Purchase as % of Total Cost [1]/[8]</t>
  </si>
  <si>
    <t>Others [Water Works / Public Lighting]</t>
  </si>
  <si>
    <t>Total Income</t>
  </si>
  <si>
    <t>SALES REVENUE BILLED :</t>
  </si>
  <si>
    <t>Purchase From CPPS/Wind Farms/Solar</t>
  </si>
  <si>
    <t>Average Cost of Purchase of Power [Net]</t>
  </si>
  <si>
    <t>Other Debits &amp; Prior Period Adjustment</t>
  </si>
  <si>
    <t>Cost of Power Purchase [Net]</t>
  </si>
  <si>
    <t>Government Subsidy  FOR AG.</t>
  </si>
  <si>
    <t>NOTE  : Power Purchase Cost is based on provisional bills received from GUVNL.</t>
  </si>
  <si>
    <t xml:space="preserve">                  </t>
  </si>
  <si>
    <t>SR</t>
  </si>
  <si>
    <t>CATEGORY</t>
  </si>
  <si>
    <t>BOARD CHARGE</t>
  </si>
  <si>
    <t>B. CHG(THEFT)</t>
  </si>
  <si>
    <t>MIN CHG DIS.</t>
  </si>
  <si>
    <t>ELE. DUTY</t>
  </si>
  <si>
    <t>TAX ON SALE</t>
  </si>
  <si>
    <t>RENT</t>
  </si>
  <si>
    <t>SUNDRY CHG.</t>
  </si>
  <si>
    <t>D. P. C.</t>
  </si>
  <si>
    <t>ASSESSMENT</t>
  </si>
  <si>
    <t>=========================================================================================================================================</t>
  </si>
  <si>
    <t>General Lighting Purpose</t>
  </si>
  <si>
    <t>Manufacturing &amp; Service Industries</t>
  </si>
  <si>
    <t>TEMP</t>
  </si>
  <si>
    <t>TOTAL</t>
  </si>
  <si>
    <t>Water Works</t>
  </si>
  <si>
    <t>Street Light</t>
  </si>
  <si>
    <t>PDC</t>
  </si>
  <si>
    <t>UNCONNECTED</t>
  </si>
  <si>
    <t>NON-CONS</t>
  </si>
  <si>
    <t>TOT(NORMAL)</t>
  </si>
  <si>
    <t>TOT(PCD+UC)</t>
  </si>
  <si>
    <t>TOT(TEMP+NON)</t>
  </si>
  <si>
    <t>GRAND TOTAL</t>
  </si>
  <si>
    <r>
      <t xml:space="preserve">BREAK-UP OF BOARD CHARGES FROM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</si>
  <si>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t>CONSUMERS</t>
  </si>
  <si>
    <t>UNITS BILLED</t>
  </si>
  <si>
    <t>FIXED-CHRG</t>
  </si>
  <si>
    <t>ENEG-CHRG</t>
  </si>
  <si>
    <t>FUEL-COST</t>
  </si>
  <si>
    <t>ANNUAL-CHG</t>
  </si>
  <si>
    <t xml:space="preserve">PRO-BILL </t>
  </si>
  <si>
    <t>DEBIT-ADJ</t>
  </si>
  <si>
    <t>BOARD-CHG</t>
  </si>
  <si>
    <t>TOT(PDC+UN)</t>
  </si>
  <si>
    <r>
      <t xml:space="preserve">LT C. G. L. FROM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</si>
  <si>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r>
      <t xml:space="preserve">LAST MONTH END DATE : </t>
    </r>
    <r>
      <rPr>
        <sz val="12"/>
        <color theme="1"/>
        <rFont val="Courier New"/>
        <family val="3"/>
      </rPr>
      <t>30-06-2014</t>
    </r>
  </si>
  <si>
    <r>
      <t xml:space="preserve">PERIOD: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</si>
  <si>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r>
      <t xml:space="preserve">PROCESSED ON: </t>
    </r>
    <r>
      <rPr>
        <sz val="12"/>
        <color theme="1"/>
        <rFont val="Courier New"/>
        <family val="3"/>
      </rPr>
      <t>18-Dec-2014</t>
    </r>
  </si>
  <si>
    <r>
      <t xml:space="preserve">COM: </t>
    </r>
    <r>
      <rPr>
        <sz val="12"/>
        <color theme="1"/>
        <rFont val="Courier New"/>
        <family val="3"/>
      </rPr>
      <t>2 MGVCL</t>
    </r>
  </si>
  <si>
    <r>
      <t xml:space="preserve">CIR: </t>
    </r>
    <r>
      <rPr>
        <sz val="12"/>
        <color theme="1"/>
        <rFont val="Courier New"/>
        <family val="3"/>
      </rPr>
      <t>All</t>
    </r>
  </si>
  <si>
    <r>
      <t xml:space="preserve">DIV: </t>
    </r>
    <r>
      <rPr>
        <sz val="12"/>
        <color theme="1"/>
        <rFont val="Courier New"/>
        <family val="3"/>
      </rPr>
      <t>All</t>
    </r>
  </si>
  <si>
    <r>
      <t xml:space="preserve">SUB: </t>
    </r>
    <r>
      <rPr>
        <sz val="12"/>
        <color theme="1"/>
        <rFont val="Courier New"/>
        <family val="3"/>
      </rPr>
      <t>All</t>
    </r>
  </si>
  <si>
    <t>OPEN. BAL</t>
  </si>
  <si>
    <t>COLLECTIONS</t>
  </si>
  <si>
    <t>CREDIT- ADJ</t>
  </si>
  <si>
    <t>TANS-FROM</t>
  </si>
  <si>
    <t>TANS-TO</t>
  </si>
  <si>
    <t>CL. BALANCE</t>
  </si>
  <si>
    <t>UNPOSTED</t>
  </si>
  <si>
    <t>TOT(NOR+UNPOST)</t>
  </si>
  <si>
    <r>
      <t xml:space="preserve">CREDIT ADJUSTMENT ( LT ) FOR :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</si>
  <si>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t>CREDIT ADJ.</t>
  </si>
  <si>
    <t xml:space="preserve">NON-CASH </t>
  </si>
  <si>
    <t>PAY-FROM</t>
  </si>
  <si>
    <t>PROVISIONAL</t>
  </si>
  <si>
    <t>&lt;-----</t>
  </si>
  <si>
    <t>RELIEF</t>
  </si>
  <si>
    <t>-----&gt;</t>
  </si>
  <si>
    <t>RCPT-CLEARED</t>
  </si>
  <si>
    <t>( BC )</t>
  </si>
  <si>
    <t>ADJ.</t>
  </si>
  <si>
    <t>OTHER-OFFICE</t>
  </si>
  <si>
    <t>BILLING</t>
  </si>
  <si>
    <t>ELE-DUTY</t>
  </si>
  <si>
    <t>ANGAN/AMNST</t>
  </si>
  <si>
    <t>BREAK-UP OF BOARD CHARGES</t>
  </si>
  <si>
    <t>---------------------------------------------------------------------------------------------------------------------------------------------------------</t>
  </si>
  <si>
    <t>SR.</t>
  </si>
  <si>
    <t>Category</t>
  </si>
  <si>
    <t>Demand Charges</t>
  </si>
  <si>
    <t>Energy-Charges.</t>
  </si>
  <si>
    <t>Time-Charges.</t>
  </si>
  <si>
    <t>Fuel-Surcharge</t>
  </si>
  <si>
    <t>Annual./SFM Charges.</t>
  </si>
  <si>
    <t>PF-Charges</t>
  </si>
  <si>
    <t>Debit-Adj</t>
  </si>
  <si>
    <t>PF-Rebate</t>
  </si>
  <si>
    <t>Ehv-Rebate</t>
  </si>
  <si>
    <t>HT INDUSTRY</t>
  </si>
  <si>
    <t>TRACTION RL</t>
  </si>
  <si>
    <t>AGRICULTURE</t>
  </si>
  <si>
    <t>LICENSEES</t>
  </si>
  <si>
    <t>OTHERS</t>
  </si>
  <si>
    <t>INTER-STATE</t>
  </si>
  <si>
    <t>DADRA NAGAR</t>
  </si>
  <si>
    <t>P.D.C</t>
  </si>
  <si>
    <t>WATER WORKS</t>
  </si>
  <si>
    <t>Grand Total</t>
  </si>
  <si>
    <t>Q1 2014</t>
  </si>
  <si>
    <t>Q1 2013</t>
  </si>
  <si>
    <t xml:space="preserve">Metered </t>
  </si>
  <si>
    <t>Unmetered</t>
  </si>
  <si>
    <t>Agricultural (Incl. Tariff Comp.)</t>
  </si>
  <si>
    <t>Misc. Revenue Related Recovery</t>
  </si>
  <si>
    <t>[ 4]</t>
  </si>
  <si>
    <t>[ 6 ]</t>
  </si>
  <si>
    <t>[7]</t>
  </si>
  <si>
    <t>Average Cost of Supply per unit of sales</t>
  </si>
  <si>
    <t>C.C.drawl at the end of the Quarter</t>
  </si>
  <si>
    <t>Misc. If any</t>
  </si>
  <si>
    <t xml:space="preserve">Total Expenses 1 to 13] </t>
  </si>
  <si>
    <t xml:space="preserve"> </t>
  </si>
  <si>
    <t>Income:</t>
  </si>
  <si>
    <t>Total Income(9+10+11+12)</t>
  </si>
  <si>
    <t>April to Sept-21</t>
  </si>
  <si>
    <t>July-2021 to Sept-2021</t>
  </si>
  <si>
    <t>July-2022 to Sept-2022</t>
  </si>
  <si>
    <t>April to Sept-22</t>
  </si>
  <si>
    <t>MGVCL  -  V  -  DISTRIBUTION - KEY DATA</t>
  </si>
  <si>
    <t xml:space="preserve">Dist losses in Urban&gt;25%, Industrial&gt;10% and GIDC&gt;5% feeders      </t>
  </si>
  <si>
    <t>Circle</t>
  </si>
  <si>
    <t>Q-II-Jul to Sep-22</t>
  </si>
  <si>
    <t>Q-II-Jul to Sep-21</t>
  </si>
  <si>
    <r>
      <t xml:space="preserve">Nos of feeders </t>
    </r>
    <r>
      <rPr>
        <b/>
        <sz val="10"/>
        <color rgb="FFFF0000"/>
        <rFont val="Leelawadee"/>
        <family val="2"/>
      </rPr>
      <t>having more than 5%</t>
    </r>
    <r>
      <rPr>
        <b/>
        <sz val="10"/>
        <rFont val="Leelawadee"/>
        <family val="2"/>
      </rPr>
      <t xml:space="preserve"> where losses</t>
    </r>
    <r>
      <rPr>
        <b/>
        <sz val="10"/>
        <color rgb="FFFF0000"/>
        <rFont val="Leelawadee"/>
        <family val="2"/>
      </rPr>
      <t xml:space="preserve"> increased</t>
    </r>
    <r>
      <rPr>
        <b/>
        <sz val="10"/>
        <rFont val="Leelawadee"/>
        <family val="2"/>
      </rPr>
      <t xml:space="preserve"> in current period</t>
    </r>
  </si>
  <si>
    <t>Reason thereof and action being taken</t>
  </si>
  <si>
    <t xml:space="preserve">Total nos. of feeders     </t>
  </si>
  <si>
    <r>
      <t>Nos. of feeders having losses more than</t>
    </r>
    <r>
      <rPr>
        <b/>
        <sz val="10"/>
        <color rgb="FFFF0000"/>
        <rFont val="Leelawadee"/>
        <family val="2"/>
      </rPr>
      <t xml:space="preserve"> 5%     </t>
    </r>
  </si>
  <si>
    <t xml:space="preserve">Overall % losses    </t>
  </si>
  <si>
    <r>
      <t xml:space="preserve">Nos. of feeders having losses more than </t>
    </r>
    <r>
      <rPr>
        <b/>
        <sz val="10"/>
        <color rgb="FFFF0000"/>
        <rFont val="Leelawadee"/>
        <family val="2"/>
      </rPr>
      <t xml:space="preserve">5%     </t>
    </r>
  </si>
  <si>
    <t>GIDC</t>
  </si>
  <si>
    <t>Baroda OM</t>
  </si>
  <si>
    <t>Various steps are being taken to reduce the losses of feeder having high losses</t>
  </si>
  <si>
    <t>Baroda City</t>
  </si>
  <si>
    <t>Anand</t>
  </si>
  <si>
    <t>Nadiad</t>
  </si>
  <si>
    <t>Godhra</t>
  </si>
  <si>
    <t>Total</t>
  </si>
  <si>
    <r>
      <t xml:space="preserve">Nos of feeders </t>
    </r>
    <r>
      <rPr>
        <b/>
        <sz val="10"/>
        <color rgb="FFFF0000"/>
        <rFont val="Leelawadee"/>
        <family val="2"/>
      </rPr>
      <t>having more than 25%</t>
    </r>
    <r>
      <rPr>
        <b/>
        <sz val="10"/>
        <rFont val="Leelawadee"/>
        <family val="2"/>
      </rPr>
      <t xml:space="preserve"> where losses </t>
    </r>
    <r>
      <rPr>
        <b/>
        <sz val="10"/>
        <color rgb="FFFF0000"/>
        <rFont val="Leelawadee"/>
        <family val="2"/>
      </rPr>
      <t>increased</t>
    </r>
    <r>
      <rPr>
        <b/>
        <sz val="10"/>
        <rFont val="Leelawadee"/>
        <family val="2"/>
      </rPr>
      <t xml:space="preserve"> in current period</t>
    </r>
  </si>
  <si>
    <r>
      <t>Nos. of feeders having losses more than</t>
    </r>
    <r>
      <rPr>
        <b/>
        <sz val="10"/>
        <color rgb="FFFF0000"/>
        <rFont val="Leelawadee"/>
        <family val="2"/>
      </rPr>
      <t xml:space="preserve"> 25%     </t>
    </r>
  </si>
  <si>
    <r>
      <t xml:space="preserve">Nos. of feeders having losses more than </t>
    </r>
    <r>
      <rPr>
        <b/>
        <sz val="10"/>
        <color rgb="FFFF0000"/>
        <rFont val="Leelawadee"/>
        <family val="2"/>
      </rPr>
      <t xml:space="preserve">25%   </t>
    </r>
    <r>
      <rPr>
        <b/>
        <sz val="10"/>
        <rFont val="Leelawadee"/>
        <family val="2"/>
      </rPr>
      <t xml:space="preserve">  </t>
    </r>
  </si>
  <si>
    <t>URBAN</t>
  </si>
  <si>
    <t>2*</t>
  </si>
  <si>
    <t>1*</t>
  </si>
  <si>
    <t>9+1*</t>
  </si>
  <si>
    <t>10+4*=14</t>
  </si>
  <si>
    <t>* Newly created feeders</t>
  </si>
  <si>
    <r>
      <t xml:space="preserve">Nos of feeders </t>
    </r>
    <r>
      <rPr>
        <b/>
        <sz val="10"/>
        <color rgb="FFFF0000"/>
        <rFont val="Leelawadee"/>
        <family val="2"/>
      </rPr>
      <t>having more than 10%</t>
    </r>
    <r>
      <rPr>
        <b/>
        <sz val="10"/>
        <rFont val="Leelawadee"/>
        <family val="2"/>
      </rPr>
      <t xml:space="preserve"> where losses </t>
    </r>
    <r>
      <rPr>
        <b/>
        <sz val="10"/>
        <color rgb="FFFF0000"/>
        <rFont val="Leelawadee"/>
        <family val="2"/>
      </rPr>
      <t>increased</t>
    </r>
    <r>
      <rPr>
        <b/>
        <sz val="10"/>
        <rFont val="Leelawadee"/>
        <family val="2"/>
      </rPr>
      <t xml:space="preserve"> in current period</t>
    </r>
  </si>
  <si>
    <r>
      <t>Nos. of feeders having losses more than</t>
    </r>
    <r>
      <rPr>
        <b/>
        <sz val="10"/>
        <color rgb="FFFF0000"/>
        <rFont val="Leelawadee"/>
        <family val="2"/>
      </rPr>
      <t xml:space="preserve"> 10%     </t>
    </r>
  </si>
  <si>
    <t>IND</t>
  </si>
  <si>
    <t>1+1*=2</t>
  </si>
  <si>
    <t>MGVCL</t>
  </si>
  <si>
    <t>V  -   DISTRIBUTION - KEY DATA</t>
  </si>
  <si>
    <t>FY 2022-23 Q-II (Jul to Sep-22)</t>
  </si>
  <si>
    <t>Meter testing and details of non-working defective meters</t>
  </si>
  <si>
    <t>(A)</t>
  </si>
  <si>
    <t>Meter testing</t>
  </si>
  <si>
    <t>Total capacity of laboratory</t>
  </si>
  <si>
    <t>Tested during the period</t>
  </si>
  <si>
    <t>Pending for testing at the end of the period</t>
  </si>
  <si>
    <t>Single Phase</t>
  </si>
  <si>
    <t>No.</t>
  </si>
  <si>
    <t>Three Phase</t>
  </si>
  <si>
    <t>(B)</t>
  </si>
  <si>
    <t>Non-working/ Defective meters</t>
  </si>
  <si>
    <t>Defected - op.balance</t>
  </si>
  <si>
    <t>Added</t>
  </si>
  <si>
    <t>Total to be attended</t>
  </si>
  <si>
    <t>Replaced / repaired</t>
  </si>
  <si>
    <t>Pending at the end of the period</t>
  </si>
  <si>
    <t>Since the nos. of pending untested meters are normally quite high, action being taken by DISCOMs to increase the nos. of test benches at various locations so that almost nil outstanding balance should accrue.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</si>
</sst>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409]mmm\-yy;@"/>
  </numFmts>
  <fonts count="59" x14ac:knownFonts="1">
    <font>
      <sz val="10"/>
      <name val="Arial"/>
    </font>
    <font>
      <sz val="11"/>
      <color theme="1"/>
      <name val="Calibri"/>
      <family val="2"/>
      <scheme val="minor"/>
    </font>
    <font>
      <sz val="8"/>
      <name val="Arial"/>
      <family val="2"/>
    </font>
    <font>
      <b/>
      <sz val="14"/>
      <name val="Bookman Old Style"/>
      <family val="1"/>
    </font>
    <font>
      <b/>
      <sz val="22"/>
      <name val="Bookman Old Style"/>
      <family val="1"/>
    </font>
    <font>
      <b/>
      <sz val="24"/>
      <name val="Bookman Old Style"/>
      <family val="1"/>
    </font>
    <font>
      <sz val="10"/>
      <name val="Arial"/>
      <family val="2"/>
    </font>
    <font>
      <sz val="16"/>
      <name val="Arial"/>
      <family val="2"/>
    </font>
    <font>
      <b/>
      <sz val="22"/>
      <name val="Algerian"/>
      <family val="5"/>
    </font>
    <font>
      <b/>
      <sz val="18"/>
      <name val="Bookman Old Style"/>
      <family val="1"/>
    </font>
    <font>
      <b/>
      <sz val="20"/>
      <name val="Arial"/>
      <family val="2"/>
    </font>
    <font>
      <sz val="18"/>
      <name val="Arial"/>
      <family val="2"/>
    </font>
    <font>
      <b/>
      <sz val="14"/>
      <color theme="1"/>
      <name val="Bookman Old Style"/>
      <family val="1"/>
    </font>
    <font>
      <b/>
      <sz val="18"/>
      <color theme="1"/>
      <name val="Bookman Old Style"/>
      <family val="1"/>
    </font>
    <font>
      <sz val="16"/>
      <color theme="1"/>
      <name val="Arial"/>
      <family val="2"/>
    </font>
    <font>
      <b/>
      <sz val="16"/>
      <color theme="1"/>
      <name val="Bookman Old Style"/>
      <family val="1"/>
    </font>
    <font>
      <sz val="10"/>
      <color theme="1"/>
      <name val="Arial"/>
      <family val="2"/>
    </font>
    <font>
      <b/>
      <sz val="11"/>
      <color theme="1"/>
      <name val="Calibri"/>
      <family val="2"/>
      <scheme val="minor"/>
    </font>
    <font>
      <b/>
      <sz val="12"/>
      <color theme="1"/>
      <name val="Courier New"/>
      <family val="3"/>
    </font>
    <font>
      <sz val="12"/>
      <color theme="1"/>
      <name val="Courier New"/>
      <family val="3"/>
    </font>
    <font>
      <b/>
      <sz val="10"/>
      <color theme="1"/>
      <name val="Courier New"/>
      <family val="3"/>
    </font>
    <font>
      <sz val="10"/>
      <color theme="1"/>
      <name val="Courier New"/>
      <family val="3"/>
    </font>
    <font>
      <b/>
      <sz val="26"/>
      <color theme="1"/>
      <name val="Bookman Old Style"/>
      <family val="1"/>
    </font>
    <font>
      <b/>
      <sz val="22"/>
      <color theme="1"/>
      <name val="Algerian"/>
      <family val="5"/>
    </font>
    <font>
      <b/>
      <sz val="22"/>
      <color theme="1"/>
      <name val="Bookman Old Style"/>
      <family val="1"/>
    </font>
    <font>
      <b/>
      <sz val="20"/>
      <color theme="1"/>
      <name val="Arial"/>
      <family val="2"/>
    </font>
    <font>
      <sz val="18"/>
      <color theme="1"/>
      <name val="Arial"/>
      <family val="2"/>
    </font>
    <font>
      <b/>
      <sz val="8"/>
      <color theme="1"/>
      <name val="Bookman Old Style"/>
      <family val="1"/>
    </font>
    <font>
      <b/>
      <sz val="26"/>
      <color theme="1"/>
      <name val="Algerian"/>
      <family val="5"/>
    </font>
    <font>
      <b/>
      <sz val="20"/>
      <color theme="1"/>
      <name val="Bookman Old Style"/>
      <family val="1"/>
    </font>
    <font>
      <b/>
      <sz val="24"/>
      <color theme="1"/>
      <name val="Bookman Old Style"/>
      <family val="1"/>
    </font>
    <font>
      <b/>
      <sz val="24"/>
      <color theme="1"/>
      <name val="Algerian"/>
      <family val="5"/>
    </font>
    <font>
      <b/>
      <sz val="14"/>
      <color theme="1"/>
      <name val="Arial"/>
      <family val="2"/>
    </font>
    <font>
      <b/>
      <sz val="12"/>
      <color theme="1"/>
      <name val="Bookman Old Style"/>
      <family val="1"/>
    </font>
    <font>
      <b/>
      <sz val="18"/>
      <color theme="1"/>
      <name val="Arial"/>
      <family val="2"/>
    </font>
    <font>
      <sz val="14"/>
      <color theme="1"/>
      <name val="Arial"/>
      <family val="2"/>
    </font>
    <font>
      <b/>
      <sz val="16"/>
      <color theme="1"/>
      <name val="Arial"/>
      <family val="2"/>
    </font>
    <font>
      <sz val="20"/>
      <color theme="1"/>
      <name val="Arial"/>
      <family val="2"/>
    </font>
    <font>
      <sz val="10"/>
      <color theme="0"/>
      <name val="Arial"/>
      <family val="2"/>
    </font>
    <font>
      <sz val="16"/>
      <color theme="0"/>
      <name val="Arial"/>
      <family val="2"/>
    </font>
    <font>
      <b/>
      <sz val="14"/>
      <color theme="0"/>
      <name val="Bookman Old Style"/>
      <family val="1"/>
    </font>
    <font>
      <b/>
      <sz val="18"/>
      <color theme="0"/>
      <name val="Bookman Old Style"/>
      <family val="1"/>
    </font>
    <font>
      <sz val="10"/>
      <name val="Arial"/>
      <family val="2"/>
    </font>
    <font>
      <b/>
      <sz val="14"/>
      <name val="Leelawadee"/>
      <family val="2"/>
    </font>
    <font>
      <sz val="10"/>
      <color theme="1"/>
      <name val="Leelawadee"/>
      <family val="2"/>
    </font>
    <font>
      <b/>
      <sz val="10"/>
      <name val="Leelawadee"/>
      <family val="2"/>
    </font>
    <font>
      <b/>
      <sz val="12"/>
      <name val="Leelawadee"/>
      <family val="2"/>
    </font>
    <font>
      <b/>
      <sz val="10"/>
      <color rgb="FFFF0000"/>
      <name val="Leelawadee"/>
      <family val="2"/>
    </font>
    <font>
      <sz val="10"/>
      <name val="Leelawadee"/>
      <family val="2"/>
    </font>
    <font>
      <b/>
      <sz val="10"/>
      <color theme="1"/>
      <name val="Leelawadee"/>
      <family val="2"/>
    </font>
    <font>
      <sz val="8"/>
      <color theme="1"/>
      <name val="Leelawadee"/>
      <family val="2"/>
    </font>
    <font>
      <b/>
      <sz val="8"/>
      <name val="Leelawadee"/>
      <family val="2"/>
    </font>
    <font>
      <sz val="10"/>
      <color rgb="FFFF0000"/>
      <name val="Leelawadee"/>
      <family val="2"/>
    </font>
    <font>
      <b/>
      <sz val="24"/>
      <color theme="1"/>
      <name val="Leelawadee"/>
      <family val="2"/>
    </font>
    <font>
      <b/>
      <sz val="16"/>
      <name val="Leelawadee"/>
      <family val="2"/>
    </font>
    <font>
      <b/>
      <sz val="16"/>
      <color theme="1"/>
      <name val="Leelawadee"/>
      <family val="2"/>
    </font>
    <font>
      <b/>
      <sz val="12"/>
      <color theme="1"/>
      <name val="Leelawadee"/>
      <family val="2"/>
    </font>
    <font>
      <sz val="12"/>
      <color theme="1"/>
      <name val="Leelawadee"/>
      <family val="2"/>
    </font>
    <font>
      <b/>
      <sz val="11"/>
      <color theme="1"/>
      <name val="Leelawadee"/>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s>
  <cellStyleXfs count="5">
    <xf numFmtId="0" fontId="0" fillId="0" borderId="0"/>
    <xf numFmtId="0" fontId="6" fillId="0" borderId="0"/>
    <xf numFmtId="9" fontId="42" fillId="0" borderId="0" applyFont="0" applyFill="0" applyBorder="0" applyAlignment="0" applyProtection="0"/>
    <xf numFmtId="9" fontId="6" fillId="0" borderId="0" applyFont="0" applyFill="0" applyBorder="0" applyAlignment="0" applyProtection="0"/>
    <xf numFmtId="0" fontId="1" fillId="0" borderId="0"/>
  </cellStyleXfs>
  <cellXfs count="430">
    <xf numFmtId="0" fontId="0" fillId="0" borderId="0" xfId="0"/>
    <xf numFmtId="0" fontId="3" fillId="0" borderId="2" xfId="0" applyFont="1" applyBorder="1" applyAlignment="1">
      <alignment horizontal="center" vertical="center" wrapText="1"/>
    </xf>
    <xf numFmtId="10" fontId="0" fillId="0" borderId="0" xfId="0" applyNumberFormat="1"/>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6" fillId="0" borderId="0" xfId="0" applyFont="1"/>
    <xf numFmtId="0" fontId="6" fillId="0" borderId="14" xfId="0" applyFont="1" applyBorder="1"/>
    <xf numFmtId="0" fontId="6" fillId="0" borderId="0" xfId="0" applyFont="1" applyBorder="1" applyAlignment="1">
      <alignment horizontal="left"/>
    </xf>
    <xf numFmtId="0" fontId="6" fillId="0" borderId="0" xfId="0" applyFont="1" applyBorder="1"/>
    <xf numFmtId="0" fontId="3" fillId="0" borderId="0" xfId="0" applyFont="1" applyFill="1" applyBorder="1" applyAlignment="1">
      <alignment horizontal="left" vertical="center" wrapText="1"/>
    </xf>
    <xf numFmtId="0" fontId="7" fillId="0" borderId="0" xfId="0" applyFont="1" applyBorder="1" applyAlignment="1">
      <alignment horizontal="right"/>
    </xf>
    <xf numFmtId="0" fontId="7" fillId="0" borderId="17" xfId="0" applyFont="1" applyBorder="1" applyAlignment="1">
      <alignment horizontal="right"/>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9" fillId="0" borderId="0" xfId="0" applyFont="1"/>
    <xf numFmtId="0" fontId="10" fillId="0" borderId="0" xfId="0" applyFont="1"/>
    <xf numFmtId="0" fontId="13" fillId="0" borderId="1" xfId="0" applyFont="1" applyBorder="1" applyAlignment="1">
      <alignment horizontal="right" vertical="center" wrapText="1"/>
    </xf>
    <xf numFmtId="0" fontId="12" fillId="0" borderId="2" xfId="0" applyFont="1" applyBorder="1" applyAlignment="1">
      <alignment horizontal="center" vertical="center" wrapText="1"/>
    </xf>
    <xf numFmtId="2" fontId="13" fillId="0" borderId="1" xfId="0" applyNumberFormat="1" applyFont="1" applyBorder="1" applyAlignment="1">
      <alignment vertical="center" wrapText="1"/>
    </xf>
    <xf numFmtId="0" fontId="14" fillId="0" borderId="0" xfId="0" applyFont="1" applyBorder="1" applyAlignment="1">
      <alignment horizontal="right"/>
    </xf>
    <xf numFmtId="0" fontId="14" fillId="0" borderId="0" xfId="0" applyFont="1"/>
    <xf numFmtId="0" fontId="16" fillId="0" borderId="0" xfId="0" applyFont="1" applyBorder="1"/>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 fontId="11" fillId="0" borderId="1" xfId="0" applyNumberFormat="1" applyFont="1" applyBorder="1"/>
    <xf numFmtId="0" fontId="11" fillId="0" borderId="1" xfId="0" applyFont="1" applyBorder="1"/>
    <xf numFmtId="0" fontId="12" fillId="0" borderId="20" xfId="0" applyFont="1" applyBorder="1" applyAlignment="1">
      <alignment vertical="center" wrapText="1"/>
    </xf>
    <xf numFmtId="0" fontId="18" fillId="0" borderId="0" xfId="0" applyFont="1" applyAlignment="1">
      <alignment horizontal="left" wrapText="1"/>
    </xf>
    <xf numFmtId="0" fontId="18" fillId="0" borderId="0" xfId="0" applyFont="1" applyAlignment="1">
      <alignment horizontal="right" wrapText="1"/>
    </xf>
    <xf numFmtId="0" fontId="17" fillId="0" borderId="0" xfId="0" applyFont="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8" fillId="0" borderId="0" xfId="0" applyFont="1" applyAlignment="1">
      <alignment wrapText="1"/>
    </xf>
    <xf numFmtId="0" fontId="0" fillId="0" borderId="0" xfId="0" applyAlignment="1">
      <alignment wrapText="1"/>
    </xf>
    <xf numFmtId="0" fontId="20" fillId="0" borderId="0" xfId="0" applyFont="1" applyAlignment="1">
      <alignment wrapText="1"/>
    </xf>
    <xf numFmtId="0" fontId="21" fillId="0" borderId="0" xfId="0" applyFont="1" applyAlignment="1">
      <alignment horizontal="right" wrapText="1"/>
    </xf>
    <xf numFmtId="0" fontId="21" fillId="0" borderId="0" xfId="0" applyFont="1" applyAlignment="1">
      <alignment horizontal="center" wrapText="1"/>
    </xf>
    <xf numFmtId="0" fontId="21" fillId="0" borderId="0" xfId="0" applyFont="1" applyAlignment="1">
      <alignment horizontal="left" wrapText="1"/>
    </xf>
    <xf numFmtId="0" fontId="21" fillId="0" borderId="0" xfId="0" applyFont="1" applyAlignment="1">
      <alignment wrapText="1"/>
    </xf>
    <xf numFmtId="1" fontId="6" fillId="0" borderId="0" xfId="0" applyNumberFormat="1" applyFont="1"/>
    <xf numFmtId="2" fontId="11" fillId="0" borderId="1" xfId="0" applyNumberFormat="1" applyFont="1" applyBorder="1"/>
    <xf numFmtId="1" fontId="13" fillId="0" borderId="4" xfId="0" applyNumberFormat="1" applyFont="1" applyBorder="1" applyAlignment="1">
      <alignment vertical="center" wrapText="1"/>
    </xf>
    <xf numFmtId="1" fontId="13" fillId="0" borderId="1" xfId="0" applyNumberFormat="1" applyFont="1" applyBorder="1" applyAlignment="1">
      <alignment vertical="center" wrapText="1"/>
    </xf>
    <xf numFmtId="1" fontId="13" fillId="0" borderId="0" xfId="0" applyNumberFormat="1" applyFont="1" applyBorder="1" applyAlignment="1">
      <alignment horizontal="right" vertical="center" wrapText="1"/>
    </xf>
    <xf numFmtId="0" fontId="5" fillId="0" borderId="0" xfId="0" applyFont="1" applyAlignment="1">
      <alignment horizontal="center"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10" fontId="13" fillId="0" borderId="1" xfId="0" applyNumberFormat="1" applyFont="1" applyBorder="1" applyAlignment="1">
      <alignment horizontal="right" vertical="center" wrapText="1"/>
    </xf>
    <xf numFmtId="0" fontId="13" fillId="0" borderId="16" xfId="0" applyFont="1" applyBorder="1" applyAlignment="1">
      <alignment horizontal="right" vertical="center" wrapText="1"/>
    </xf>
    <xf numFmtId="0" fontId="12" fillId="0" borderId="1" xfId="0" applyFont="1" applyFill="1" applyBorder="1" applyAlignment="1">
      <alignment horizontal="center" vertical="center" wrapText="1"/>
    </xf>
    <xf numFmtId="0" fontId="14" fillId="0" borderId="0" xfId="0" applyFont="1" applyFill="1"/>
    <xf numFmtId="2" fontId="13" fillId="0" borderId="4" xfId="0" applyNumberFormat="1" applyFont="1" applyFill="1" applyBorder="1" applyAlignment="1">
      <alignment horizontal="right" vertical="center" wrapText="1"/>
    </xf>
    <xf numFmtId="2" fontId="13" fillId="0" borderId="2" xfId="0" applyNumberFormat="1" applyFont="1" applyFill="1" applyBorder="1" applyAlignment="1">
      <alignment horizontal="right" vertical="center" wrapText="1"/>
    </xf>
    <xf numFmtId="0" fontId="16" fillId="0" borderId="0" xfId="0" applyFont="1" applyFill="1"/>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0" xfId="0" applyFont="1" applyFill="1"/>
    <xf numFmtId="0" fontId="13" fillId="0" borderId="0" xfId="0" applyFont="1" applyFill="1"/>
    <xf numFmtId="0" fontId="15" fillId="0" borderId="6"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4" fillId="0" borderId="0" xfId="0" applyFont="1" applyFill="1" applyAlignment="1">
      <alignment horizontal="left"/>
    </xf>
    <xf numFmtId="0" fontId="14" fillId="0" borderId="0" xfId="0" applyFont="1" applyFill="1" applyAlignment="1">
      <alignment horizontal="center"/>
    </xf>
    <xf numFmtId="0" fontId="15" fillId="0" borderId="0" xfId="0" applyFont="1" applyFill="1" applyAlignment="1">
      <alignment horizontal="center" vertical="center" wrapText="1"/>
    </xf>
    <xf numFmtId="0" fontId="15" fillId="0" borderId="0"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9" xfId="0" applyFont="1" applyFill="1" applyBorder="1" applyAlignment="1">
      <alignment horizontal="center" vertical="center" wrapText="1"/>
    </xf>
    <xf numFmtId="165" fontId="25" fillId="0" borderId="0" xfId="0" applyNumberFormat="1" applyFont="1" applyFill="1"/>
    <xf numFmtId="0" fontId="26" fillId="0" borderId="0" xfId="0" applyFont="1" applyFill="1"/>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5" fillId="0" borderId="0" xfId="0" applyFont="1" applyFill="1"/>
    <xf numFmtId="2" fontId="25" fillId="0" borderId="0" xfId="0" applyNumberFormat="1" applyFont="1" applyFill="1"/>
    <xf numFmtId="0" fontId="16" fillId="0" borderId="0" xfId="0" applyFont="1"/>
    <xf numFmtId="0" fontId="22" fillId="0" borderId="0" xfId="0" applyFont="1" applyAlignment="1">
      <alignment horizontal="center" vertical="center" wrapText="1"/>
    </xf>
    <xf numFmtId="0" fontId="29" fillId="0" borderId="0" xfId="0" applyFont="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left" vertical="center" wrapText="1"/>
    </xf>
    <xf numFmtId="10" fontId="13" fillId="0" borderId="8" xfId="0" applyNumberFormat="1" applyFont="1" applyBorder="1" applyAlignment="1">
      <alignment horizontal="right" vertical="center" wrapText="1"/>
    </xf>
    <xf numFmtId="0" fontId="12" fillId="0" borderId="6" xfId="0" applyFont="1" applyBorder="1" applyAlignment="1">
      <alignment horizontal="center" vertical="center" wrapText="1"/>
    </xf>
    <xf numFmtId="0" fontId="12" fillId="0" borderId="2" xfId="0" applyFont="1" applyBorder="1" applyAlignment="1">
      <alignment horizontal="left" vertical="center" wrapText="1"/>
    </xf>
    <xf numFmtId="0" fontId="12" fillId="0" borderId="0" xfId="0" applyFont="1" applyBorder="1" applyAlignment="1">
      <alignment horizontal="center" vertical="center" wrapText="1"/>
    </xf>
    <xf numFmtId="2" fontId="16" fillId="0" borderId="0" xfId="0" applyNumberFormat="1" applyFont="1"/>
    <xf numFmtId="164" fontId="32" fillId="0" borderId="0" xfId="0" applyNumberFormat="1" applyFont="1"/>
    <xf numFmtId="0" fontId="12" fillId="0" borderId="13"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1" xfId="0" applyFont="1" applyBorder="1" applyAlignment="1">
      <alignment horizontal="right" vertical="center" wrapText="1"/>
    </xf>
    <xf numFmtId="2" fontId="13" fillId="0" borderId="2" xfId="0" applyNumberFormat="1" applyFont="1" applyBorder="1" applyAlignment="1">
      <alignment horizontal="right" vertical="center" wrapText="1"/>
    </xf>
    <xf numFmtId="0" fontId="12" fillId="0" borderId="2" xfId="0" applyFont="1" applyBorder="1" applyAlignment="1">
      <alignment horizontal="right" vertical="center" wrapText="1"/>
    </xf>
    <xf numFmtId="0" fontId="12" fillId="0" borderId="12" xfId="0" applyFont="1" applyBorder="1" applyAlignment="1">
      <alignment horizontal="right" vertical="center" wrapText="1"/>
    </xf>
    <xf numFmtId="0" fontId="33" fillId="0" borderId="0" xfId="0" applyFont="1" applyAlignment="1">
      <alignment vertical="center" wrapText="1"/>
    </xf>
    <xf numFmtId="0" fontId="30" fillId="0" borderId="0" xfId="0" applyFont="1" applyAlignment="1">
      <alignment horizontal="center" vertical="center" wrapText="1"/>
    </xf>
    <xf numFmtId="0" fontId="15" fillId="0" borderId="0" xfId="0" applyFont="1"/>
    <xf numFmtId="2" fontId="15" fillId="0" borderId="0" xfId="0" applyNumberFormat="1" applyFont="1"/>
    <xf numFmtId="0" fontId="13" fillId="0" borderId="0" xfId="0" applyFont="1" applyAlignment="1">
      <alignment horizontal="center" vertical="center"/>
    </xf>
    <xf numFmtId="2" fontId="26" fillId="0" borderId="0" xfId="0" applyNumberFormat="1" applyFont="1"/>
    <xf numFmtId="0" fontId="13" fillId="0" borderId="0" xfId="0" applyFont="1"/>
    <xf numFmtId="0" fontId="29" fillId="0" borderId="0" xfId="0" applyFont="1" applyFill="1" applyBorder="1" applyAlignment="1">
      <alignment horizontal="left" vertical="center" wrapText="1"/>
    </xf>
    <xf numFmtId="1" fontId="13" fillId="0" borderId="1" xfId="0" applyNumberFormat="1" applyFont="1" applyFill="1" applyBorder="1" applyAlignment="1">
      <alignment horizontal="right" vertical="center" wrapText="1"/>
    </xf>
    <xf numFmtId="0" fontId="16" fillId="0" borderId="14" xfId="0" applyFont="1" applyFill="1" applyBorder="1"/>
    <xf numFmtId="0" fontId="16" fillId="0" borderId="0" xfId="0" applyFont="1" applyFill="1" applyBorder="1" applyAlignment="1">
      <alignment horizontal="left"/>
    </xf>
    <xf numFmtId="0" fontId="16" fillId="0" borderId="0" xfId="0" applyFont="1" applyFill="1" applyBorder="1"/>
    <xf numFmtId="0" fontId="14" fillId="0" borderId="0" xfId="0" applyFont="1" applyFill="1" applyBorder="1" applyAlignment="1">
      <alignment horizontal="right"/>
    </xf>
    <xf numFmtId="0" fontId="12" fillId="0" borderId="1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4" fillId="0" borderId="0" xfId="0" applyFont="1" applyFill="1"/>
    <xf numFmtId="2" fontId="34" fillId="0" borderId="0" xfId="0" applyNumberFormat="1" applyFont="1" applyFill="1"/>
    <xf numFmtId="0" fontId="35" fillId="0" borderId="0" xfId="0" applyFont="1" applyFill="1" applyAlignment="1">
      <alignment horizontal="center"/>
    </xf>
    <xf numFmtId="0" fontId="35" fillId="0" borderId="0" xfId="0" applyFont="1" applyFill="1"/>
    <xf numFmtId="2" fontId="35" fillId="0" borderId="0" xfId="0" applyNumberFormat="1" applyFont="1" applyFill="1"/>
    <xf numFmtId="10" fontId="16" fillId="0" borderId="0" xfId="0" applyNumberFormat="1" applyFont="1" applyFill="1"/>
    <xf numFmtId="1" fontId="13" fillId="0" borderId="2" xfId="0" applyNumberFormat="1" applyFont="1" applyBorder="1" applyAlignment="1">
      <alignment vertical="center" wrapText="1"/>
    </xf>
    <xf numFmtId="0" fontId="3" fillId="0" borderId="28" xfId="0" applyFont="1" applyBorder="1" applyAlignment="1">
      <alignment horizontal="center" vertical="center" wrapText="1"/>
    </xf>
    <xf numFmtId="0" fontId="3" fillId="0" borderId="21" xfId="0" applyFont="1" applyBorder="1" applyAlignment="1">
      <alignment horizontal="left" vertical="center" wrapText="1"/>
    </xf>
    <xf numFmtId="0" fontId="3" fillId="0" borderId="2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10" fontId="15" fillId="0" borderId="8" xfId="0" applyNumberFormat="1" applyFont="1" applyBorder="1" applyAlignment="1">
      <alignment horizontal="right" vertical="center" wrapText="1"/>
    </xf>
    <xf numFmtId="2" fontId="36" fillId="0" borderId="0" xfId="0" applyNumberFormat="1" applyFont="1"/>
    <xf numFmtId="10" fontId="36" fillId="0" borderId="0" xfId="0" applyNumberFormat="1" applyFont="1"/>
    <xf numFmtId="0" fontId="37" fillId="0" borderId="0" xfId="0" applyFont="1"/>
    <xf numFmtId="0" fontId="38" fillId="0" borderId="0" xfId="0" applyFont="1" applyFill="1"/>
    <xf numFmtId="0" fontId="39" fillId="0" borderId="0" xfId="0" applyFont="1" applyFill="1"/>
    <xf numFmtId="2" fontId="40" fillId="0" borderId="8" xfId="0" applyNumberFormat="1" applyFont="1" applyBorder="1" applyAlignment="1">
      <alignment horizontal="right" vertical="center" wrapText="1"/>
    </xf>
    <xf numFmtId="10" fontId="13" fillId="0" borderId="4" xfId="0" applyNumberFormat="1" applyFont="1" applyBorder="1" applyAlignment="1">
      <alignment horizontal="right" vertical="center" wrapText="1"/>
    </xf>
    <xf numFmtId="10" fontId="13" fillId="0" borderId="7" xfId="0" applyNumberFormat="1" applyFont="1" applyBorder="1" applyAlignment="1">
      <alignment horizontal="right" vertical="center" wrapText="1"/>
    </xf>
    <xf numFmtId="10" fontId="13" fillId="0" borderId="2" xfId="0" applyNumberFormat="1" applyFont="1" applyBorder="1" applyAlignment="1">
      <alignment horizontal="right" vertical="center" wrapText="1"/>
    </xf>
    <xf numFmtId="10" fontId="13" fillId="0" borderId="12"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0" fontId="14" fillId="0" borderId="17" xfId="0" applyFont="1" applyBorder="1" applyAlignment="1">
      <alignment horizontal="right"/>
    </xf>
    <xf numFmtId="10" fontId="13" fillId="0" borderId="21" xfId="0" applyNumberFormat="1" applyFont="1" applyBorder="1" applyAlignment="1">
      <alignment horizontal="right" vertical="center" wrapText="1"/>
    </xf>
    <xf numFmtId="10" fontId="13" fillId="0" borderId="22" xfId="0" applyNumberFormat="1" applyFont="1" applyBorder="1" applyAlignment="1">
      <alignment horizontal="right" vertical="center" wrapText="1"/>
    </xf>
    <xf numFmtId="0" fontId="12" fillId="0" borderId="1" xfId="0" applyFont="1" applyBorder="1" applyAlignment="1">
      <alignment horizontal="center" vertical="center" wrapText="1"/>
    </xf>
    <xf numFmtId="2" fontId="13" fillId="0" borderId="1"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8" xfId="0" applyNumberFormat="1" applyFont="1" applyBorder="1" applyAlignment="1">
      <alignment horizontal="right" vertical="center" wrapText="1"/>
    </xf>
    <xf numFmtId="0" fontId="12" fillId="0" borderId="1" xfId="0" applyFont="1" applyBorder="1" applyAlignment="1">
      <alignment horizontal="center" vertical="center" wrapText="1"/>
    </xf>
    <xf numFmtId="2" fontId="41" fillId="0" borderId="1" xfId="0" applyNumberFormat="1" applyFont="1" applyBorder="1" applyAlignment="1">
      <alignment horizontal="right" vertical="center" wrapText="1"/>
    </xf>
    <xf numFmtId="0" fontId="39" fillId="0" borderId="0" xfId="0" applyFont="1" applyFill="1" applyBorder="1" applyAlignment="1">
      <alignment horizontal="right"/>
    </xf>
    <xf numFmtId="0" fontId="39" fillId="0" borderId="17" xfId="0" applyFont="1" applyFill="1" applyBorder="1" applyAlignment="1">
      <alignment horizontal="right"/>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10" fontId="13" fillId="0" borderId="2" xfId="0" applyNumberFormat="1" applyFont="1" applyFill="1" applyBorder="1" applyAlignment="1">
      <alignment horizontal="right" vertical="center" wrapText="1"/>
    </xf>
    <xf numFmtId="10" fontId="13" fillId="0" borderId="12"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2" fontId="13" fillId="0" borderId="10" xfId="0" applyNumberFormat="1" applyFont="1" applyBorder="1" applyAlignment="1">
      <alignment horizontal="right" vertical="center" wrapText="1"/>
    </xf>
    <xf numFmtId="0" fontId="13" fillId="0" borderId="10" xfId="0" applyFont="1" applyBorder="1" applyAlignment="1">
      <alignment horizontal="right" vertical="center" wrapText="1"/>
    </xf>
    <xf numFmtId="0" fontId="12" fillId="0" borderId="1" xfId="0" applyFont="1" applyBorder="1" applyAlignment="1">
      <alignment horizontal="center" vertical="center" wrapText="1"/>
    </xf>
    <xf numFmtId="0" fontId="12" fillId="0" borderId="15" xfId="0" applyFont="1" applyBorder="1" applyAlignment="1">
      <alignment horizontal="center" vertical="center" wrapText="1"/>
    </xf>
    <xf numFmtId="2" fontId="13" fillId="0" borderId="1" xfId="0" applyNumberFormat="1" applyFont="1" applyFill="1" applyBorder="1" applyAlignment="1">
      <alignment horizontal="right" vertical="center" wrapText="1"/>
    </xf>
    <xf numFmtId="10" fontId="13" fillId="0" borderId="8"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10" fontId="9" fillId="0" borderId="1" xfId="0" applyNumberFormat="1" applyFont="1" applyBorder="1" applyAlignment="1">
      <alignment horizontal="right" vertical="center" wrapText="1"/>
    </xf>
    <xf numFmtId="0" fontId="3" fillId="0" borderId="10" xfId="0" applyFont="1" applyBorder="1" applyAlignment="1">
      <alignment horizontal="center" vertical="center" wrapText="1"/>
    </xf>
    <xf numFmtId="2" fontId="9" fillId="0" borderId="1" xfId="0" applyNumberFormat="1" applyFont="1" applyBorder="1" applyAlignment="1">
      <alignment vertical="center" wrapText="1"/>
    </xf>
    <xf numFmtId="2" fontId="9" fillId="0" borderId="15" xfId="0" applyNumberFormat="1" applyFont="1" applyBorder="1" applyAlignment="1">
      <alignment vertical="center" wrapText="1"/>
    </xf>
    <xf numFmtId="10" fontId="9" fillId="0" borderId="8" xfId="0" applyNumberFormat="1" applyFont="1" applyBorder="1" applyAlignment="1">
      <alignment horizontal="right" vertical="center" wrapText="1"/>
    </xf>
    <xf numFmtId="2" fontId="12" fillId="0" borderId="8" xfId="0" applyNumberFormat="1" applyFont="1" applyBorder="1" applyAlignment="1">
      <alignment horizontal="right" vertical="center" wrapText="1"/>
    </xf>
    <xf numFmtId="10" fontId="13" fillId="0" borderId="15" xfId="0" applyNumberFormat="1" applyFont="1" applyBorder="1" applyAlignment="1">
      <alignment horizontal="right" vertical="center" wrapText="1"/>
    </xf>
    <xf numFmtId="10" fontId="13" fillId="2" borderId="1" xfId="0" applyNumberFormat="1" applyFont="1" applyFill="1" applyBorder="1" applyAlignment="1">
      <alignment horizontal="right" vertical="center" wrapText="1"/>
    </xf>
    <xf numFmtId="10" fontId="13" fillId="2" borderId="15" xfId="0" applyNumberFormat="1" applyFont="1" applyFill="1" applyBorder="1" applyAlignment="1">
      <alignment horizontal="right" vertical="center" wrapText="1"/>
    </xf>
    <xf numFmtId="0" fontId="13" fillId="0" borderId="15" xfId="0" applyFont="1" applyBorder="1" applyAlignment="1">
      <alignment horizontal="right" vertical="center" wrapText="1"/>
    </xf>
    <xf numFmtId="10" fontId="13" fillId="0" borderId="4" xfId="0" applyNumberFormat="1" applyFont="1" applyFill="1" applyBorder="1" applyAlignment="1">
      <alignment horizontal="right" vertical="center" wrapText="1"/>
    </xf>
    <xf numFmtId="10" fontId="13" fillId="0" borderId="7"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164" fontId="13" fillId="0" borderId="1"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2" fontId="13" fillId="0" borderId="3"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0" fontId="35" fillId="0" borderId="0" xfId="0" applyFont="1"/>
    <xf numFmtId="2" fontId="13" fillId="0" borderId="10"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10" fontId="41" fillId="0" borderId="1" xfId="0" applyNumberFormat="1" applyFont="1" applyBorder="1" applyAlignment="1">
      <alignment horizontal="right" vertical="center" wrapText="1"/>
    </xf>
    <xf numFmtId="10" fontId="41" fillId="0" borderId="1" xfId="0" applyNumberFormat="1" applyFont="1" applyFill="1" applyBorder="1" applyAlignment="1">
      <alignment horizontal="right" vertical="center" wrapText="1"/>
    </xf>
    <xf numFmtId="10" fontId="41" fillId="0" borderId="8" xfId="0" applyNumberFormat="1" applyFont="1" applyFill="1" applyBorder="1" applyAlignment="1">
      <alignment horizontal="right" vertical="center" wrapText="1"/>
    </xf>
    <xf numFmtId="10" fontId="41" fillId="0" borderId="21" xfId="0" applyNumberFormat="1" applyFont="1" applyBorder="1" applyAlignment="1">
      <alignment horizontal="right" vertical="center" wrapText="1"/>
    </xf>
    <xf numFmtId="10" fontId="41" fillId="0" borderId="8" xfId="0" applyNumberFormat="1" applyFont="1" applyBorder="1" applyAlignment="1">
      <alignment horizontal="right" vertical="center" wrapText="1"/>
    </xf>
    <xf numFmtId="10" fontId="13" fillId="0" borderId="1" xfId="2"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10" fontId="13" fillId="0" borderId="1"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2" fontId="35" fillId="0" borderId="0" xfId="0" applyNumberFormat="1" applyFont="1"/>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10" fontId="13" fillId="0" borderId="1" xfId="0" applyNumberFormat="1" applyFont="1" applyFill="1" applyBorder="1" applyAlignment="1">
      <alignment horizontal="right" vertical="center" wrapText="1"/>
    </xf>
    <xf numFmtId="10" fontId="16" fillId="0" borderId="0" xfId="0" applyNumberFormat="1" applyFont="1"/>
    <xf numFmtId="1" fontId="14" fillId="0" borderId="0" xfId="0" applyNumberFormat="1" applyFont="1" applyFill="1" applyBorder="1" applyAlignment="1">
      <alignment horizontal="right"/>
    </xf>
    <xf numFmtId="1" fontId="13" fillId="0" borderId="4" xfId="0" applyNumberFormat="1" applyFont="1" applyFill="1" applyBorder="1" applyAlignment="1">
      <alignment vertical="center" wrapText="1"/>
    </xf>
    <xf numFmtId="1" fontId="13" fillId="0" borderId="5" xfId="0" applyNumberFormat="1" applyFont="1" applyFill="1" applyBorder="1" applyAlignment="1">
      <alignment vertical="center" wrapText="1"/>
    </xf>
    <xf numFmtId="1" fontId="13" fillId="0" borderId="1" xfId="0" applyNumberFormat="1" applyFont="1" applyFill="1" applyBorder="1" applyAlignment="1">
      <alignment vertical="center" wrapText="1"/>
    </xf>
    <xf numFmtId="1" fontId="13" fillId="0" borderId="5" xfId="0" applyNumberFormat="1" applyFont="1" applyFill="1" applyBorder="1" applyAlignment="1">
      <alignment horizontal="right" vertical="center" wrapText="1"/>
    </xf>
    <xf numFmtId="2" fontId="16" fillId="0" borderId="0" xfId="2" applyNumberFormat="1" applyFont="1"/>
    <xf numFmtId="10" fontId="16" fillId="0" borderId="0" xfId="2" applyNumberFormat="1" applyFont="1"/>
    <xf numFmtId="1" fontId="13" fillId="0" borderId="1" xfId="0" applyNumberFormat="1" applyFont="1" applyBorder="1" applyAlignment="1">
      <alignment vertical="center" wrapText="1"/>
    </xf>
    <xf numFmtId="2" fontId="13" fillId="0" borderId="1" xfId="0" applyNumberFormat="1" applyFont="1" applyFill="1" applyBorder="1" applyAlignment="1">
      <alignment horizontal="right" vertical="center" wrapText="1"/>
    </xf>
    <xf numFmtId="9" fontId="16" fillId="0" borderId="0" xfId="2" applyFont="1"/>
    <xf numFmtId="10" fontId="14" fillId="0" borderId="0" xfId="2" applyNumberFormat="1" applyFont="1"/>
    <xf numFmtId="10" fontId="13" fillId="0" borderId="1"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1" fontId="13" fillId="0" borderId="2"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2" fontId="13" fillId="0" borderId="5" xfId="0" quotePrefix="1" applyNumberFormat="1" applyFont="1" applyFill="1" applyBorder="1" applyAlignment="1">
      <alignment horizontal="right" vertical="center" wrapText="1"/>
    </xf>
    <xf numFmtId="0" fontId="12" fillId="0" borderId="1" xfId="0" applyFont="1" applyBorder="1" applyAlignment="1">
      <alignment horizontal="center" vertical="center" wrapText="1"/>
    </xf>
    <xf numFmtId="2" fontId="13" fillId="0" borderId="1" xfId="0" applyNumberFormat="1" applyFont="1" applyFill="1" applyBorder="1" applyAlignment="1">
      <alignment horizontal="right" vertical="center" wrapText="1"/>
    </xf>
    <xf numFmtId="10" fontId="13" fillId="0" borderId="1"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1" fontId="13" fillId="0" borderId="1" xfId="0" applyNumberFormat="1" applyFont="1" applyFill="1" applyBorder="1" applyAlignment="1">
      <alignment horizontal="right" vertical="center" wrapText="1"/>
    </xf>
    <xf numFmtId="10" fontId="13" fillId="0" borderId="30" xfId="0" applyNumberFormat="1" applyFont="1" applyBorder="1" applyAlignment="1">
      <alignment horizontal="right" vertical="center" wrapText="1"/>
    </xf>
    <xf numFmtId="0" fontId="15" fillId="0" borderId="1" xfId="0" applyFont="1" applyBorder="1" applyAlignment="1">
      <alignment horizontal="left" vertical="center" wrapText="1"/>
    </xf>
    <xf numFmtId="164" fontId="35" fillId="0" borderId="0" xfId="0" applyNumberFormat="1" applyFont="1" applyFill="1"/>
    <xf numFmtId="164" fontId="14" fillId="0" borderId="0" xfId="0" applyNumberFormat="1" applyFont="1" applyFill="1"/>
    <xf numFmtId="10" fontId="13" fillId="0" borderId="8" xfId="0" applyNumberFormat="1" applyFont="1" applyBorder="1" applyAlignment="1">
      <alignment horizontal="right" vertical="center" wrapText="1"/>
    </xf>
    <xf numFmtId="2" fontId="16" fillId="0" borderId="0" xfId="0" applyNumberFormat="1" applyFont="1" applyFill="1"/>
    <xf numFmtId="2" fontId="13" fillId="0" borderId="1" xfId="0" applyNumberFormat="1" applyFont="1" applyFill="1" applyBorder="1" applyAlignment="1">
      <alignment horizontal="right" vertical="center" wrapText="1"/>
    </xf>
    <xf numFmtId="0" fontId="12" fillId="0" borderId="18" xfId="0" applyFont="1" applyBorder="1" applyAlignment="1">
      <alignment horizontal="center" vertical="center" wrapText="1"/>
    </xf>
    <xf numFmtId="2" fontId="13" fillId="0" borderId="21"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1" fontId="13" fillId="3" borderId="1" xfId="0" applyNumberFormat="1" applyFont="1" applyFill="1" applyBorder="1" applyAlignment="1">
      <alignment horizontal="right" vertical="center" wrapText="1"/>
    </xf>
    <xf numFmtId="1" fontId="13" fillId="3" borderId="2" xfId="0" applyNumberFormat="1" applyFont="1" applyFill="1" applyBorder="1" applyAlignment="1">
      <alignment horizontal="right" vertical="center" wrapText="1"/>
    </xf>
    <xf numFmtId="2" fontId="13" fillId="3" borderId="28" xfId="0" applyNumberFormat="1" applyFont="1" applyFill="1" applyBorder="1" applyAlignment="1">
      <alignment horizontal="right" vertical="center" wrapText="1"/>
    </xf>
    <xf numFmtId="2" fontId="13" fillId="3" borderId="21" xfId="0" applyNumberFormat="1" applyFont="1" applyFill="1" applyBorder="1" applyAlignment="1">
      <alignment horizontal="right" vertical="center" wrapText="1"/>
    </xf>
    <xf numFmtId="2" fontId="13" fillId="3" borderId="5" xfId="0" applyNumberFormat="1" applyFont="1" applyFill="1" applyBorder="1" applyAlignment="1">
      <alignment horizontal="right" vertical="center" wrapText="1"/>
    </xf>
    <xf numFmtId="2" fontId="13" fillId="3" borderId="5" xfId="0" quotePrefix="1" applyNumberFormat="1" applyFont="1" applyFill="1" applyBorder="1" applyAlignment="1">
      <alignment horizontal="right" vertical="center" wrapText="1"/>
    </xf>
    <xf numFmtId="2" fontId="13" fillId="3" borderId="6" xfId="0" applyNumberFormat="1" applyFont="1" applyFill="1" applyBorder="1" applyAlignment="1">
      <alignment horizontal="right" vertical="center" wrapText="1"/>
    </xf>
    <xf numFmtId="1" fontId="14" fillId="3" borderId="0" xfId="0" applyNumberFormat="1" applyFont="1" applyFill="1" applyBorder="1" applyAlignment="1">
      <alignment horizontal="right"/>
    </xf>
    <xf numFmtId="2" fontId="13" fillId="3" borderId="3" xfId="0" applyNumberFormat="1" applyFont="1" applyFill="1" applyBorder="1" applyAlignment="1">
      <alignment horizontal="right" vertical="center" wrapText="1"/>
    </xf>
    <xf numFmtId="0" fontId="12" fillId="0" borderId="18" xfId="0" applyFont="1" applyBorder="1" applyAlignment="1">
      <alignment horizontal="center" vertical="center" wrapText="1"/>
    </xf>
    <xf numFmtId="2" fontId="13" fillId="3" borderId="1" xfId="0" applyNumberFormat="1" applyFont="1" applyFill="1" applyBorder="1" applyAlignment="1">
      <alignment horizontal="right" vertical="center" wrapText="1"/>
    </xf>
    <xf numFmtId="10" fontId="3" fillId="0" borderId="2" xfId="0" applyNumberFormat="1" applyFont="1" applyBorder="1" applyAlignment="1">
      <alignment horizontal="center" vertical="center" wrapText="1"/>
    </xf>
    <xf numFmtId="2" fontId="39" fillId="0" borderId="0" xfId="0" applyNumberFormat="1" applyFont="1" applyFill="1"/>
    <xf numFmtId="2" fontId="14" fillId="0" borderId="0" xfId="0" applyNumberFormat="1" applyFont="1" applyFill="1"/>
    <xf numFmtId="10" fontId="9" fillId="0" borderId="10" xfId="0" applyNumberFormat="1" applyFont="1" applyBorder="1" applyAlignment="1">
      <alignment horizontal="right" vertical="center" wrapText="1"/>
    </xf>
    <xf numFmtId="10" fontId="9" fillId="0" borderId="21" xfId="0" applyNumberFormat="1" applyFont="1" applyBorder="1" applyAlignment="1">
      <alignment horizontal="right" vertical="center" wrapText="1"/>
    </xf>
    <xf numFmtId="2" fontId="13" fillId="0" borderId="10" xfId="0" applyNumberFormat="1" applyFont="1" applyBorder="1" applyAlignment="1">
      <alignment horizontal="right" vertical="center" wrapText="1"/>
    </xf>
    <xf numFmtId="2" fontId="13" fillId="0" borderId="16" xfId="0" applyNumberFormat="1" applyFont="1" applyBorder="1" applyAlignment="1">
      <alignment horizontal="right" vertical="center" wrapText="1"/>
    </xf>
    <xf numFmtId="2" fontId="13" fillId="0" borderId="21" xfId="0" applyNumberFormat="1" applyFont="1" applyBorder="1" applyAlignment="1">
      <alignment horizontal="right" vertical="center" wrapText="1"/>
    </xf>
    <xf numFmtId="10" fontId="9" fillId="0" borderId="16" xfId="0" applyNumberFormat="1" applyFont="1" applyBorder="1" applyAlignment="1">
      <alignment horizontal="right" vertical="center" wrapText="1"/>
    </xf>
    <xf numFmtId="10" fontId="9" fillId="0" borderId="11" xfId="0" applyNumberFormat="1" applyFont="1" applyBorder="1" applyAlignment="1">
      <alignment horizontal="right" vertical="center" wrapText="1"/>
    </xf>
    <xf numFmtId="10" fontId="9" fillId="0" borderId="22" xfId="0" applyNumberFormat="1" applyFont="1" applyBorder="1" applyAlignment="1">
      <alignment horizontal="right" vertical="center" wrapText="1"/>
    </xf>
    <xf numFmtId="2" fontId="13" fillId="0" borderId="10" xfId="0" applyNumberFormat="1" applyFont="1" applyFill="1" applyBorder="1" applyAlignment="1">
      <alignment horizontal="right" vertical="center" wrapText="1"/>
    </xf>
    <xf numFmtId="2" fontId="13" fillId="0" borderId="21" xfId="0" applyNumberFormat="1" applyFont="1" applyFill="1" applyBorder="1" applyAlignment="1">
      <alignment horizontal="right" vertical="center" wrapText="1"/>
    </xf>
    <xf numFmtId="10" fontId="9" fillId="0" borderId="23" xfId="0" applyNumberFormat="1" applyFont="1" applyBorder="1" applyAlignment="1">
      <alignment horizontal="right" vertical="center" wrapText="1"/>
    </xf>
    <xf numFmtId="0" fontId="27" fillId="0" borderId="0" xfId="0" applyFont="1" applyAlignment="1">
      <alignment horizontal="center" vertical="center" wrapText="1"/>
    </xf>
    <xf numFmtId="2" fontId="13" fillId="3" borderId="10" xfId="0" applyNumberFormat="1" applyFont="1" applyFill="1" applyBorder="1" applyAlignment="1">
      <alignment horizontal="right" vertical="center" wrapText="1"/>
    </xf>
    <xf numFmtId="2" fontId="13" fillId="3" borderId="21" xfId="0" applyNumberFormat="1" applyFont="1" applyFill="1" applyBorder="1" applyAlignment="1">
      <alignment horizontal="right" vertical="center" wrapText="1"/>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0" fontId="28" fillId="0" borderId="0" xfId="0" applyFont="1" applyAlignment="1">
      <alignment horizontal="center"/>
    </xf>
    <xf numFmtId="0" fontId="30"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31" fillId="0" borderId="0" xfId="0" applyFont="1" applyAlignment="1">
      <alignment horizontal="center"/>
    </xf>
    <xf numFmtId="0" fontId="12" fillId="0" borderId="24" xfId="0" applyFont="1" applyBorder="1" applyAlignment="1">
      <alignment horizontal="center" vertical="center" wrapText="1"/>
    </xf>
    <xf numFmtId="0" fontId="12" fillId="0" borderId="15" xfId="0" applyFont="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vertical="center" wrapText="1"/>
    </xf>
    <xf numFmtId="0" fontId="23" fillId="0" borderId="0" xfId="0" applyFont="1" applyFill="1" applyAlignment="1">
      <alignment horizontal="center"/>
    </xf>
    <xf numFmtId="10" fontId="13" fillId="0" borderId="11" xfId="0" applyNumberFormat="1" applyFont="1" applyFill="1" applyBorder="1" applyAlignment="1">
      <alignment horizontal="right" vertical="center" wrapText="1"/>
    </xf>
    <xf numFmtId="10" fontId="13" fillId="0" borderId="22" xfId="0" applyNumberFormat="1" applyFont="1" applyFill="1" applyBorder="1" applyAlignment="1">
      <alignment horizontal="right" vertical="center" wrapText="1"/>
    </xf>
    <xf numFmtId="164" fontId="13" fillId="0" borderId="10" xfId="0" applyNumberFormat="1" applyFont="1" applyFill="1" applyBorder="1" applyAlignment="1">
      <alignment horizontal="right" vertical="center" wrapText="1"/>
    </xf>
    <xf numFmtId="164" fontId="13" fillId="0" borderId="21" xfId="0" applyNumberFormat="1" applyFont="1" applyFill="1" applyBorder="1" applyAlignment="1">
      <alignment horizontal="right" vertical="center" wrapText="1"/>
    </xf>
    <xf numFmtId="10" fontId="13" fillId="0" borderId="10" xfId="0" applyNumberFormat="1" applyFont="1" applyFill="1" applyBorder="1" applyAlignment="1">
      <alignment vertical="center" wrapText="1"/>
    </xf>
    <xf numFmtId="10" fontId="13" fillId="0" borderId="21" xfId="0" applyNumberFormat="1" applyFont="1" applyFill="1" applyBorder="1" applyAlignment="1">
      <alignment vertical="center" wrapText="1"/>
    </xf>
    <xf numFmtId="1" fontId="13" fillId="0" borderId="10" xfId="0" applyNumberFormat="1" applyFont="1" applyFill="1" applyBorder="1" applyAlignment="1">
      <alignment horizontal="right" vertical="center" wrapText="1"/>
    </xf>
    <xf numFmtId="1" fontId="13" fillId="0" borderId="21" xfId="0" applyNumberFormat="1" applyFont="1" applyFill="1" applyBorder="1" applyAlignment="1">
      <alignment horizontal="right" vertical="center" wrapText="1"/>
    </xf>
    <xf numFmtId="0" fontId="24" fillId="0" borderId="0" xfId="0" applyFont="1" applyFill="1" applyAlignment="1">
      <alignment horizontal="center" vertical="center" wrapText="1"/>
    </xf>
    <xf numFmtId="10" fontId="13" fillId="0" borderId="10" xfId="0" applyNumberFormat="1" applyFont="1" applyFill="1" applyBorder="1" applyAlignment="1">
      <alignment horizontal="right" vertical="center" wrapText="1"/>
    </xf>
    <xf numFmtId="10" fontId="13" fillId="0" borderId="21" xfId="0" applyNumberFormat="1" applyFont="1" applyFill="1" applyBorder="1" applyAlignment="1">
      <alignment horizontal="right"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1" fontId="13" fillId="3" borderId="10" xfId="0" applyNumberFormat="1" applyFont="1" applyFill="1" applyBorder="1" applyAlignment="1">
      <alignment horizontal="right" vertical="center" wrapText="1"/>
    </xf>
    <xf numFmtId="1" fontId="13" fillId="3" borderId="21" xfId="0" applyNumberFormat="1" applyFont="1" applyFill="1" applyBorder="1" applyAlignment="1">
      <alignment horizontal="right" vertical="center" wrapText="1"/>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2" fontId="13" fillId="0" borderId="13"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0" fontId="8"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2" fontId="13" fillId="3" borderId="1" xfId="0" applyNumberFormat="1" applyFont="1" applyFill="1" applyBorder="1" applyAlignment="1">
      <alignment horizontal="right" vertical="center" wrapText="1"/>
    </xf>
    <xf numFmtId="1" fontId="13"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10" fontId="13" fillId="0" borderId="8"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2" fontId="13" fillId="3" borderId="5" xfId="0" applyNumberFormat="1" applyFont="1" applyFill="1" applyBorder="1" applyAlignment="1">
      <alignment horizontal="right" vertical="center" wrapText="1"/>
    </xf>
    <xf numFmtId="2" fontId="13" fillId="3" borderId="13" xfId="0" applyNumberFormat="1" applyFont="1" applyFill="1" applyBorder="1" applyAlignment="1">
      <alignment horizontal="right" vertical="center" wrapText="1"/>
    </xf>
    <xf numFmtId="2" fontId="13" fillId="3" borderId="28" xfId="0" applyNumberFormat="1" applyFont="1" applyFill="1" applyBorder="1" applyAlignment="1">
      <alignment horizontal="right" vertical="center" wrapText="1"/>
    </xf>
    <xf numFmtId="10" fontId="13" fillId="0" borderId="11" xfId="0" applyNumberFormat="1" applyFont="1" applyBorder="1" applyAlignment="1">
      <alignment horizontal="right" vertical="center" wrapText="1"/>
    </xf>
    <xf numFmtId="10" fontId="13" fillId="0" borderId="23" xfId="0" applyNumberFormat="1" applyFont="1" applyBorder="1" applyAlignment="1">
      <alignment horizontal="right" vertical="center" wrapText="1"/>
    </xf>
    <xf numFmtId="10" fontId="13" fillId="0" borderId="22" xfId="0" applyNumberFormat="1" applyFont="1" applyBorder="1" applyAlignment="1">
      <alignment horizontal="righ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31" xfId="1" applyFont="1" applyFill="1" applyBorder="1" applyAlignment="1">
      <alignment horizontal="center" vertical="center" wrapText="1"/>
    </xf>
    <xf numFmtId="0" fontId="43" fillId="0" borderId="32" xfId="1" applyFont="1" applyFill="1" applyBorder="1" applyAlignment="1">
      <alignment horizontal="center" vertical="center" wrapText="1"/>
    </xf>
    <xf numFmtId="0" fontId="43" fillId="0" borderId="33" xfId="1" applyFont="1" applyFill="1" applyBorder="1" applyAlignment="1">
      <alignment horizontal="center" vertical="center" wrapText="1"/>
    </xf>
    <xf numFmtId="0" fontId="44" fillId="0" borderId="0" xfId="4" applyFont="1" applyFill="1"/>
    <xf numFmtId="0" fontId="45" fillId="0" borderId="34" xfId="1" applyFont="1" applyFill="1" applyBorder="1" applyAlignment="1"/>
    <xf numFmtId="0" fontId="46" fillId="0" borderId="25" xfId="1" applyFont="1" applyFill="1" applyBorder="1" applyAlignment="1">
      <alignment horizontal="center" vertical="center" wrapText="1"/>
    </xf>
    <xf numFmtId="0" fontId="46" fillId="0" borderId="26" xfId="1" applyFont="1" applyFill="1" applyBorder="1" applyAlignment="1">
      <alignment horizontal="center" vertical="center" wrapText="1"/>
    </xf>
    <xf numFmtId="0" fontId="46" fillId="0" borderId="27" xfId="1" applyFont="1" applyFill="1" applyBorder="1" applyAlignment="1">
      <alignment horizontal="center" vertical="center" wrapText="1"/>
    </xf>
    <xf numFmtId="0" fontId="45" fillId="0" borderId="3" xfId="1" applyFont="1" applyFill="1" applyBorder="1" applyAlignment="1">
      <alignment horizontal="center" vertical="center" wrapText="1"/>
    </xf>
    <xf numFmtId="0" fontId="45" fillId="0" borderId="4" xfId="1" applyFont="1" applyFill="1" applyBorder="1" applyAlignment="1">
      <alignment horizontal="center" vertical="center" wrapText="1"/>
    </xf>
    <xf numFmtId="0" fontId="45" fillId="0" borderId="24" xfId="1" applyFont="1" applyFill="1" applyBorder="1" applyAlignment="1">
      <alignment horizontal="center" vertical="center" wrapText="1"/>
    </xf>
    <xf numFmtId="0" fontId="45" fillId="0" borderId="7" xfId="1" applyFont="1" applyFill="1" applyBorder="1" applyAlignment="1">
      <alignment horizontal="center" vertical="center" wrapText="1"/>
    </xf>
    <xf numFmtId="0" fontId="45" fillId="0" borderId="5" xfId="1" applyFont="1" applyFill="1" applyBorder="1" applyAlignment="1">
      <alignment horizontal="center" vertical="center" wrapText="1"/>
    </xf>
    <xf numFmtId="0" fontId="45" fillId="0" borderId="1" xfId="1" applyFont="1" applyFill="1" applyBorder="1" applyAlignment="1">
      <alignment horizontal="center" vertical="center" wrapText="1"/>
    </xf>
    <xf numFmtId="0" fontId="45" fillId="0" borderId="1" xfId="1" applyFont="1" applyFill="1" applyBorder="1" applyAlignment="1">
      <alignment horizontal="center" vertical="center" wrapText="1"/>
    </xf>
    <xf numFmtId="0" fontId="45" fillId="0" borderId="16" xfId="1" applyFont="1" applyFill="1" applyBorder="1" applyAlignment="1">
      <alignment horizontal="center" vertical="center" wrapText="1"/>
    </xf>
    <xf numFmtId="0" fontId="45" fillId="0" borderId="8" xfId="1" applyFont="1" applyFill="1" applyBorder="1" applyAlignment="1">
      <alignment horizontal="center" vertical="center" wrapText="1"/>
    </xf>
    <xf numFmtId="0" fontId="45" fillId="0" borderId="13" xfId="1" applyFont="1" applyFill="1" applyBorder="1" applyAlignment="1">
      <alignment horizontal="center" vertical="center" wrapText="1"/>
    </xf>
    <xf numFmtId="0" fontId="48" fillId="0" borderId="1" xfId="1" applyFont="1" applyFill="1" applyBorder="1" applyAlignment="1">
      <alignment horizontal="center" vertical="center" wrapText="1"/>
    </xf>
    <xf numFmtId="0" fontId="44" fillId="0" borderId="1" xfId="1" applyFont="1" applyFill="1" applyBorder="1" applyAlignment="1">
      <alignment horizontal="center" vertical="center"/>
    </xf>
    <xf numFmtId="0" fontId="44" fillId="0" borderId="1" xfId="1" applyFont="1" applyFill="1" applyBorder="1" applyAlignment="1">
      <alignment horizontal="center" vertical="center" wrapText="1"/>
    </xf>
    <xf numFmtId="2" fontId="44" fillId="0" borderId="1" xfId="1" applyNumberFormat="1" applyFont="1" applyFill="1" applyBorder="1" applyAlignment="1">
      <alignment horizontal="center" vertical="center" wrapText="1"/>
    </xf>
    <xf numFmtId="0" fontId="44" fillId="0" borderId="16" xfId="1" applyFont="1" applyFill="1" applyBorder="1" applyAlignment="1">
      <alignment horizontal="center" vertical="center" wrapText="1"/>
    </xf>
    <xf numFmtId="0" fontId="48" fillId="0" borderId="11" xfId="1" applyFont="1" applyFill="1" applyBorder="1" applyAlignment="1">
      <alignment horizontal="center" vertical="center" wrapText="1"/>
    </xf>
    <xf numFmtId="0" fontId="44" fillId="0" borderId="0" xfId="4" applyFont="1" applyFill="1" applyAlignment="1">
      <alignment vertical="center"/>
    </xf>
    <xf numFmtId="0" fontId="45" fillId="0" borderId="35" xfId="1" applyFont="1" applyFill="1" applyBorder="1" applyAlignment="1">
      <alignment horizontal="center" vertical="center" wrapText="1"/>
    </xf>
    <xf numFmtId="0" fontId="48" fillId="0" borderId="23" xfId="1" applyFont="1" applyFill="1" applyBorder="1" applyAlignment="1">
      <alignment horizontal="center" vertical="center" wrapText="1"/>
    </xf>
    <xf numFmtId="0" fontId="49" fillId="0" borderId="0" xfId="4" applyFont="1" applyFill="1" applyBorder="1" applyAlignment="1">
      <alignment horizontal="center" vertical="center"/>
    </xf>
    <xf numFmtId="0" fontId="49" fillId="0" borderId="10" xfId="1" applyFont="1" applyFill="1" applyBorder="1" applyAlignment="1">
      <alignment horizontal="center" vertical="center" wrapText="1"/>
    </xf>
    <xf numFmtId="2" fontId="49" fillId="0" borderId="10" xfId="1" applyNumberFormat="1" applyFont="1" applyFill="1" applyBorder="1" applyAlignment="1">
      <alignment horizontal="center" vertical="center" wrapText="1"/>
    </xf>
    <xf numFmtId="0" fontId="49" fillId="0" borderId="16" xfId="1" applyFont="1" applyFill="1" applyBorder="1" applyAlignment="1">
      <alignment horizontal="center" vertical="center" wrapText="1"/>
    </xf>
    <xf numFmtId="0" fontId="45" fillId="0" borderId="10" xfId="1" applyFont="1" applyFill="1" applyBorder="1" applyAlignment="1">
      <alignment horizontal="center" vertical="center" wrapText="1"/>
    </xf>
    <xf numFmtId="0" fontId="45" fillId="0" borderId="36" xfId="1" applyFont="1" applyFill="1" applyBorder="1" applyAlignment="1">
      <alignment horizontal="center" vertical="center" wrapText="1"/>
    </xf>
    <xf numFmtId="0" fontId="50" fillId="0" borderId="26" xfId="4" applyFont="1" applyFill="1" applyBorder="1" applyAlignment="1">
      <alignment horizontal="center" vertical="center"/>
    </xf>
    <xf numFmtId="0" fontId="51" fillId="0" borderId="19" xfId="1" applyFont="1" applyFill="1" applyBorder="1" applyAlignment="1">
      <alignment horizontal="center" vertical="center" wrapText="1"/>
    </xf>
    <xf numFmtId="0" fontId="51" fillId="0" borderId="26" xfId="1" applyFont="1" applyFill="1" applyBorder="1" applyAlignment="1">
      <alignment horizontal="center" vertical="center" wrapText="1"/>
    </xf>
    <xf numFmtId="0" fontId="51" fillId="0" borderId="37" xfId="1" applyFont="1" applyFill="1" applyBorder="1" applyAlignment="1">
      <alignment horizontal="center" vertical="center" wrapText="1"/>
    </xf>
    <xf numFmtId="0" fontId="51" fillId="0" borderId="2" xfId="1" applyFont="1" applyFill="1" applyBorder="1" applyAlignment="1">
      <alignment horizontal="center" vertical="center" wrapText="1"/>
    </xf>
    <xf numFmtId="0" fontId="48" fillId="0" borderId="38" xfId="1" applyFont="1" applyFill="1" applyBorder="1" applyAlignment="1">
      <alignment horizontal="center" vertical="center" wrapText="1"/>
    </xf>
    <xf numFmtId="0" fontId="50" fillId="0" borderId="0" xfId="4" applyFont="1" applyFill="1" applyAlignment="1">
      <alignment vertical="center"/>
    </xf>
    <xf numFmtId="0" fontId="49" fillId="0" borderId="1" xfId="4" applyFont="1" applyFill="1" applyBorder="1" applyAlignment="1">
      <alignment horizontal="center" vertical="center"/>
    </xf>
    <xf numFmtId="2" fontId="49" fillId="0" borderId="1" xfId="1" applyNumberFormat="1" applyFont="1" applyFill="1" applyBorder="1" applyAlignment="1">
      <alignment horizontal="center" vertical="center" wrapText="1"/>
    </xf>
    <xf numFmtId="0" fontId="50" fillId="0" borderId="39" xfId="4" applyFont="1" applyFill="1" applyBorder="1" applyAlignment="1">
      <alignment horizontal="center" vertical="center"/>
    </xf>
    <xf numFmtId="0" fontId="51" fillId="0" borderId="40" xfId="1" applyFont="1" applyFill="1" applyBorder="1" applyAlignment="1">
      <alignment horizontal="center" vertical="center" wrapText="1"/>
    </xf>
    <xf numFmtId="0" fontId="44" fillId="0" borderId="16" xfId="4" applyFont="1" applyFill="1" applyBorder="1" applyAlignment="1">
      <alignment vertical="center"/>
    </xf>
    <xf numFmtId="0" fontId="49" fillId="0" borderId="1" xfId="1" applyFont="1" applyFill="1" applyBorder="1" applyAlignment="1">
      <alignment horizontal="center" vertical="center" wrapText="1"/>
    </xf>
    <xf numFmtId="0" fontId="45" fillId="0" borderId="6" xfId="1" applyFont="1" applyFill="1" applyBorder="1" applyAlignment="1">
      <alignment horizontal="center" vertical="center" wrapText="1"/>
    </xf>
    <xf numFmtId="0" fontId="50" fillId="0" borderId="2" xfId="4" applyFont="1" applyFill="1" applyBorder="1" applyAlignment="1">
      <alignment horizontal="center" vertical="center"/>
    </xf>
    <xf numFmtId="0" fontId="47" fillId="0" borderId="41" xfId="4" applyNumberFormat="1" applyFont="1" applyFill="1" applyBorder="1" applyAlignment="1">
      <alignment vertical="center" wrapText="1"/>
    </xf>
    <xf numFmtId="0" fontId="52" fillId="0" borderId="41" xfId="4" applyNumberFormat="1" applyFont="1" applyFill="1" applyBorder="1" applyAlignment="1">
      <alignment vertical="center" wrapText="1"/>
    </xf>
    <xf numFmtId="0" fontId="53" fillId="0" borderId="0" xfId="0" applyFont="1" applyFill="1" applyAlignment="1">
      <alignment horizontal="center" vertical="center"/>
    </xf>
    <xf numFmtId="0" fontId="44" fillId="0" borderId="0" xfId="0" applyFont="1" applyFill="1" applyBorder="1"/>
    <xf numFmtId="0" fontId="54" fillId="0" borderId="0" xfId="0" applyFont="1" applyFill="1" applyAlignment="1">
      <alignment horizontal="left" vertical="center"/>
    </xf>
    <xf numFmtId="0" fontId="54" fillId="0" borderId="0" xfId="0" applyFont="1" applyFill="1" applyAlignment="1">
      <alignment vertical="center"/>
    </xf>
    <xf numFmtId="0" fontId="54" fillId="0" borderId="0" xfId="0" applyFont="1" applyFill="1" applyAlignment="1">
      <alignment horizontal="right" vertical="center"/>
    </xf>
    <xf numFmtId="0" fontId="55" fillId="0" borderId="0" xfId="0" applyFont="1" applyFill="1" applyAlignment="1">
      <alignment horizontal="center" vertical="center" wrapText="1"/>
    </xf>
    <xf numFmtId="0" fontId="56" fillId="0" borderId="42" xfId="0" applyFont="1" applyFill="1" applyBorder="1" applyAlignment="1">
      <alignment horizontal="center" vertical="center"/>
    </xf>
    <xf numFmtId="0" fontId="56" fillId="4" borderId="9" xfId="0" applyFont="1" applyFill="1" applyBorder="1" applyAlignment="1">
      <alignment horizontal="center" vertical="center" wrapText="1"/>
    </xf>
    <xf numFmtId="0" fontId="56" fillId="4" borderId="43"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56" fillId="0" borderId="7" xfId="0" applyFont="1" applyFill="1" applyBorder="1" applyAlignment="1">
      <alignment horizontal="center" vertical="center" wrapText="1"/>
    </xf>
    <xf numFmtId="0" fontId="44" fillId="0" borderId="0" xfId="0" quotePrefix="1" applyFont="1" applyFill="1" applyBorder="1"/>
    <xf numFmtId="0" fontId="56" fillId="0" borderId="35" xfId="0" applyFont="1" applyFill="1" applyBorder="1" applyAlignment="1">
      <alignment horizontal="center" vertical="center"/>
    </xf>
    <xf numFmtId="0" fontId="57" fillId="0" borderId="1" xfId="0" applyFont="1" applyFill="1" applyBorder="1" applyAlignment="1">
      <alignment horizontal="left" vertical="center"/>
    </xf>
    <xf numFmtId="0" fontId="57" fillId="0" borderId="1" xfId="0" applyFont="1" applyFill="1" applyBorder="1" applyAlignment="1">
      <alignment horizontal="center" vertical="center"/>
    </xf>
    <xf numFmtId="0" fontId="57" fillId="0" borderId="1" xfId="0" applyFont="1" applyFill="1" applyBorder="1" applyAlignment="1">
      <alignment vertical="center"/>
    </xf>
    <xf numFmtId="1" fontId="57" fillId="5" borderId="1" xfId="0" applyNumberFormat="1" applyFont="1" applyFill="1" applyBorder="1" applyAlignment="1">
      <alignment horizontal="center" vertical="center" wrapText="1"/>
    </xf>
    <xf numFmtId="1" fontId="57" fillId="0" borderId="1" xfId="0" applyNumberFormat="1" applyFont="1" applyFill="1" applyBorder="1" applyAlignment="1">
      <alignment horizontal="center" vertical="center" wrapText="1"/>
    </xf>
    <xf numFmtId="1" fontId="57" fillId="0" borderId="8" xfId="0" applyNumberFormat="1" applyFont="1" applyFill="1" applyBorder="1" applyAlignment="1">
      <alignment horizontal="center" vertical="center" wrapText="1"/>
    </xf>
    <xf numFmtId="0" fontId="44" fillId="0" borderId="0" xfId="0" applyNumberFormat="1" applyFont="1" applyFill="1" applyBorder="1"/>
    <xf numFmtId="1" fontId="44" fillId="0" borderId="0" xfId="0" applyNumberFormat="1" applyFont="1" applyFill="1" applyBorder="1"/>
    <xf numFmtId="0" fontId="56" fillId="0" borderId="36" xfId="0" applyFont="1" applyFill="1" applyBorder="1" applyAlignment="1">
      <alignment horizontal="center" vertical="center"/>
    </xf>
    <xf numFmtId="0" fontId="56" fillId="0" borderId="2" xfId="0" applyFont="1" applyFill="1" applyBorder="1" applyAlignment="1">
      <alignment horizontal="left" vertical="center"/>
    </xf>
    <xf numFmtId="0" fontId="56" fillId="0" borderId="2" xfId="0" applyFont="1" applyFill="1" applyBorder="1" applyAlignment="1">
      <alignment horizontal="center" vertical="center"/>
    </xf>
    <xf numFmtId="0" fontId="56" fillId="0" borderId="2" xfId="0" applyFont="1" applyFill="1" applyBorder="1" applyAlignment="1">
      <alignment vertical="center"/>
    </xf>
    <xf numFmtId="1" fontId="56" fillId="5" borderId="2" xfId="0" applyNumberFormat="1" applyFont="1" applyFill="1" applyBorder="1" applyAlignment="1">
      <alignment horizontal="center" vertical="center"/>
    </xf>
    <xf numFmtId="1" fontId="56" fillId="0" borderId="2" xfId="0" applyNumberFormat="1" applyFont="1" applyFill="1" applyBorder="1" applyAlignment="1">
      <alignment horizontal="center" vertical="center"/>
    </xf>
    <xf numFmtId="1" fontId="56" fillId="0" borderId="12" xfId="0" applyNumberFormat="1" applyFont="1" applyFill="1" applyBorder="1" applyAlignment="1">
      <alignment horizontal="center" vertical="center"/>
    </xf>
    <xf numFmtId="166" fontId="44" fillId="0" borderId="0" xfId="0" applyNumberFormat="1" applyFont="1" applyFill="1" applyBorder="1"/>
    <xf numFmtId="0" fontId="56" fillId="0" borderId="7" xfId="0" applyFont="1" applyFill="1" applyBorder="1" applyAlignment="1">
      <alignment horizontal="center" vertical="center" wrapText="1"/>
    </xf>
    <xf numFmtId="0" fontId="44" fillId="0" borderId="0" xfId="0" applyFont="1" applyFill="1" applyBorder="1" applyAlignment="1">
      <alignment vertical="center"/>
    </xf>
    <xf numFmtId="0" fontId="56" fillId="0" borderId="0" xfId="0" applyFont="1" applyFill="1" applyBorder="1" applyAlignment="1">
      <alignment vertical="center"/>
    </xf>
    <xf numFmtId="1" fontId="49" fillId="0" borderId="0" xfId="0" applyNumberFormat="1" applyFont="1" applyFill="1" applyBorder="1" applyAlignment="1">
      <alignment vertical="center"/>
    </xf>
    <xf numFmtId="0" fontId="57" fillId="5" borderId="1" xfId="0" applyFont="1" applyFill="1" applyBorder="1" applyAlignment="1">
      <alignment horizontal="center" vertical="center"/>
    </xf>
    <xf numFmtId="1" fontId="57" fillId="5" borderId="1" xfId="0" applyNumberFormat="1" applyFont="1" applyFill="1" applyBorder="1" applyAlignment="1">
      <alignment horizontal="center" vertical="center"/>
    </xf>
    <xf numFmtId="1" fontId="57" fillId="5" borderId="8" xfId="0" applyNumberFormat="1" applyFont="1" applyFill="1" applyBorder="1" applyAlignment="1">
      <alignment horizontal="center" vertical="center"/>
    </xf>
    <xf numFmtId="1" fontId="49" fillId="0" borderId="0" xfId="0" applyNumberFormat="1" applyFont="1" applyFill="1" applyBorder="1" applyAlignment="1">
      <alignment horizontal="center" vertical="center"/>
    </xf>
    <xf numFmtId="0" fontId="56" fillId="5" borderId="2" xfId="0" applyFont="1" applyFill="1" applyBorder="1" applyAlignment="1">
      <alignment horizontal="center" vertical="center"/>
    </xf>
    <xf numFmtId="0" fontId="56" fillId="5" borderId="12" xfId="0" applyFont="1" applyFill="1" applyBorder="1" applyAlignment="1">
      <alignment horizontal="center" vertical="center"/>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44" fillId="0" borderId="0" xfId="0" applyFont="1" applyFill="1" applyBorder="1" applyAlignment="1">
      <alignment horizontal="center" vertical="center"/>
    </xf>
    <xf numFmtId="0" fontId="49" fillId="0" borderId="0" xfId="0" applyFont="1" applyFill="1" applyBorder="1" applyAlignment="1">
      <alignment vertical="center"/>
    </xf>
    <xf numFmtId="16" fontId="49" fillId="0" borderId="0" xfId="0" quotePrefix="1" applyNumberFormat="1" applyFont="1" applyFill="1" applyBorder="1" applyAlignment="1">
      <alignment vertical="center"/>
    </xf>
    <xf numFmtId="0" fontId="49" fillId="0" borderId="0" xfId="0" applyFont="1" applyFill="1" applyBorder="1"/>
  </cellXfs>
  <cellStyles count="5">
    <cellStyle name="Normal" xfId="0" builtinId="0"/>
    <cellStyle name="Normal 2" xfId="1"/>
    <cellStyle name="Normal 3" xfId="4"/>
    <cellStyle name="Percent" xfId="2"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20RIMS%20T&amp;D%202022-23-Q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omp1\c\ndb\MIS_CO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2%20RIMS%20LAB%20%20FY%202022-23-Q2%20Cal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001"/>
      <sheetName val="mpmla wise pp02_03"/>
      <sheetName val="shp_T&amp;D_drive"/>
      <sheetName val="TLPPOCT"/>
      <sheetName val="R2-S1-mthws-prog"/>
      <sheetName val="LMAIN"/>
      <sheetName val="shp_T_D_drive"/>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22 - Q1"/>
      <sheetName val="INDUSTRIAL"/>
      <sheetName val="Feeders list"/>
      <sheetName val="GIDC List"/>
      <sheetName val="URBN List"/>
      <sheetName val="2021-22 - Q2"/>
      <sheetName val="GIDC-Q2"/>
      <sheetName val="Urban-Q2"/>
      <sheetName val="INDUSTRIAL-Q2"/>
      <sheetName val="2021-22 - Q3"/>
      <sheetName val="GIDC-Q3"/>
      <sheetName val="Urban-Q3"/>
      <sheetName val="Industrial-Q3"/>
      <sheetName val="2021-22 - Q4"/>
      <sheetName val="List Q4"/>
      <sheetName val="2022-23-Q1"/>
      <sheetName val="Q1 List GIDC URBN IND 22-23"/>
      <sheetName val="2022-23-Q2"/>
      <sheetName val="Q2 List GIDC URBN IND 22-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16_lt static "/>
      <sheetName val="cps_sp_up"/>
      <sheetName val="cps_wc"/>
      <sheetName val="cps_summary"/>
      <sheetName val="Existing_CPS_july03"/>
      <sheetName val="cps_pp"/>
      <sheetName val="cps_blnk"/>
      <sheetName val="MTHWISE FAIL"/>
      <sheetName val="PASTE"/>
      <sheetName val="Name of Lines"/>
      <sheetName val="FDR MST"/>
      <sheetName val="shp_T_D_drive"/>
      <sheetName val="TLPPOCT"/>
      <sheetName val="mpmla wise pp0001"/>
      <sheetName val="SuvP_Ltg_Catwise"/>
      <sheetName val="PP_Ltg_Catwise"/>
      <sheetName val="SuvP_Ind_Catwise "/>
      <sheetName val="PP_Ind_Catwise "/>
      <sheetName val="mpmla wise pp01_02"/>
      <sheetName val="zpF0001"/>
      <sheetName val="shp_T&amp;D_drive"/>
      <sheetName val="AAR-MONTHLY"/>
      <sheetName val="Master_Data"/>
      <sheetName val="T_D COMP"/>
      <sheetName val="#REF"/>
      <sheetName val="REF"/>
      <sheetName val="11KV_Xmer_Fail"/>
      <sheetName val="ann7"/>
      <sheetName val="ann10"/>
      <sheetName val="ann11 A"/>
      <sheetName val="ann9"/>
      <sheetName val="ann8"/>
      <sheetName val="ann11 B"/>
      <sheetName val="1.GUVNL TT-SF"/>
      <sheetName val="SUMMARY PBIS increase"/>
      <sheetName val="FB"/>
      <sheetName val="MLA ZP"/>
      <sheetName val="Sheet7"/>
      <sheetName val="1EM TO STATIC 1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zpF0001"/>
      <sheetName val="Name of Lines"/>
      <sheetName val="mpmla wise pp01_02"/>
      <sheetName val="mpmla wise pp0001"/>
      <sheetName val="R2-S1-mthws-prog"/>
      <sheetName val="Jotana"/>
      <sheetName val="zp0001_MAR"/>
      <sheetName val="ACN_PLN  _2_"/>
      <sheetName val="T_D COMP"/>
      <sheetName val="pdc Rc,Ag Shif"/>
      <sheetName val="SuvP_Ltg_Catwise"/>
      <sheetName val="PP_Ltg_Catwise"/>
      <sheetName val="PP_Ind_Catwise "/>
      <sheetName val="Paid pending"/>
      <sheetName val="PRO_39_C"/>
      <sheetName val="FDR MST"/>
      <sheetName val="SUM-04-05"/>
      <sheetName val="SuvP_Ind_Catwise "/>
      <sheetName val="CT_mtr_check"/>
      <sheetName val="HTVR_VITROL MODI"/>
      <sheetName val="GP-SENT"/>
      <sheetName val="Recovered_Sheet5"/>
      <sheetName val="117"/>
      <sheetName val="LMAIN"/>
      <sheetName val="HTVR sc. coll."/>
      <sheetName val="Master_Data"/>
      <sheetName val="TLPPOCT"/>
      <sheetName val="Ag LF"/>
      <sheetName val="AG UN METER"/>
      <sheetName val="Inputs"/>
      <sheetName val="A 3.7"/>
      <sheetName val="Modify JALSAN _2_"/>
      <sheetName val="Prop_Jalundh"/>
      <sheetName val="OLD  JALSAN"/>
    </sheetNames>
    <sheetDataSet>
      <sheetData sheetId="0"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HTVR CO_"/>
      <sheetName val="PRO_39_C"/>
      <sheetName val="SHP_TD_00"/>
      <sheetName val="T_D COMP"/>
      <sheetName val="Sheet2"/>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T_D COMP"/>
      <sheetName val="LMAIN"/>
      <sheetName val="R2-S1-mthws-prog"/>
      <sheetName val="TLPPOCT"/>
      <sheetName val="zpF0001"/>
      <sheetName val="locationwise activities"/>
      <sheetName val="zp0001_MAR"/>
      <sheetName val="mpmla wise pp0001"/>
      <sheetName val="TALUKA Wise"/>
      <sheetName val="Recovered_Sheet5"/>
      <sheetName val="mpmla wise paid pending"/>
      <sheetName val="117"/>
      <sheetName val="mpmla wise pp02_03"/>
      <sheetName val="SuvP_Ltg_Catwise"/>
      <sheetName val="PP_Ltg_Catwise"/>
      <sheetName val="SuvP_Ind_Catwise "/>
      <sheetName val="PP_Ind_Catwise "/>
      <sheetName val="LOOKUPS"/>
      <sheetName val="FDR MST"/>
      <sheetName val="CDSteelMaster"/>
      <sheetName val="METRE ON UM CONN"/>
      <sheetName val="D'BARIA CTY"/>
      <sheetName val="PIPLOD"/>
      <sheetName val="Motizari JGY"/>
      <sheetName val="Toyani JGY "/>
      <sheetName val="Rama JGY "/>
      <sheetName val="BAKROL"/>
      <sheetName val="NAGVAV"/>
      <sheetName val="RICHWANI"/>
      <sheetName val="Salia AG"/>
      <sheetName val="Kaliyakota AG"/>
      <sheetName val="GUNA AG"/>
      <sheetName val="GOLLAV"/>
      <sheetName val="JUNA BARIA"/>
      <sheetName val=" FANGIA JGY"/>
      <sheetName val="SEVANIYA JGY"/>
      <sheetName val=" BARA JGY"/>
      <sheetName val="Bamroli AG"/>
      <sheetName val="Vadbhet AG"/>
      <sheetName val="Kelkuwa AG"/>
      <sheetName val="Sheet1"/>
      <sheetName val="COST ESTI.14B"/>
      <sheetName val="SUB DN TS"/>
      <sheetName val="PROF.14"/>
      <sheetName val="CHECK LIST"/>
      <sheetName val="MATERIAL REQUIRE"/>
      <sheetName val="DIVN. T.S."/>
      <sheetName val="GUNA"/>
      <sheetName val="Office Note HT ABC 1"/>
    </sheetNames>
    <sheetDataSet>
      <sheetData sheetId="0"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er tesing &amp; defective Q42021"/>
      <sheetName val="Meter tesing &amp; defective Q12122"/>
      <sheetName val="Meter tesing &amp; defective Q22122"/>
      <sheetName val="Meter tesing &amp; defective Q32122"/>
      <sheetName val="Meter tesing &amp; defective Q42122"/>
      <sheetName val="Lab_1_Ph_21-22"/>
      <sheetName val="Lab_3_Ph_21-22"/>
      <sheetName val="Meter tesing &amp; defectiveQ1 2223"/>
      <sheetName val="Lab_1_Ph_22-23"/>
      <sheetName val="Lab_3_Ph_22-23"/>
      <sheetName val="NW Meter 22-23"/>
      <sheetName val="Meter tesing &amp; defectiveQ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mpmla wise pp0001"/>
      <sheetName val="ACN_PLN  _2_"/>
      <sheetName val="mpmla wise pp01_02"/>
      <sheetName val="ZP AMR"/>
      <sheetName val="MTHWISE FAIL"/>
      <sheetName val="REF"/>
      <sheetName val="MASTER"/>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Master_Data"/>
      <sheetName val="Name of Lines"/>
      <sheetName val="DATA"/>
      <sheetName val="117"/>
      <sheetName val="PRO_39_C"/>
      <sheetName val="Recovered_Sheet5"/>
      <sheetName val="AG UN METER"/>
      <sheetName val="MLA ZP"/>
      <sheetName val="Sheet7"/>
      <sheetName val="PM_testing"/>
      <sheetName val="ACN_PLN  (2)"/>
      <sheetName val="Ag LF"/>
      <sheetName val="Jotana"/>
      <sheetName val="compar jgy"/>
      <sheetName val="COMPARE A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K56"/>
  <sheetViews>
    <sheetView view="pageBreakPreview" topLeftCell="A7" zoomScale="70" zoomScaleNormal="70" zoomScaleSheetLayoutView="70" workbookViewId="0">
      <selection activeCell="B49" sqref="B49"/>
    </sheetView>
  </sheetViews>
  <sheetFormatPr defaultRowHeight="12.75" x14ac:dyDescent="0.2"/>
  <cols>
    <col min="1" max="1" width="8" style="85" customWidth="1"/>
    <col min="2" max="2" width="74.140625" style="85" customWidth="1"/>
    <col min="3" max="3" width="22" style="85" customWidth="1"/>
    <col min="4" max="4" width="25" style="85" customWidth="1"/>
    <col min="5" max="5" width="27" style="85" customWidth="1"/>
    <col min="6" max="6" width="26.42578125" style="85" customWidth="1"/>
    <col min="7" max="7" width="25" style="85" customWidth="1"/>
    <col min="8" max="8" width="20.42578125" style="85" customWidth="1"/>
    <col min="9" max="9" width="22.140625" style="85" customWidth="1"/>
    <col min="10" max="16384" width="9.140625" style="85"/>
  </cols>
  <sheetData>
    <row r="2" spans="1:9" ht="33" x14ac:dyDescent="0.2">
      <c r="I2" s="86" t="s">
        <v>68</v>
      </c>
    </row>
    <row r="5" spans="1:9" ht="37.5" x14ac:dyDescent="0.6">
      <c r="A5" s="272" t="s">
        <v>0</v>
      </c>
      <c r="B5" s="272"/>
      <c r="C5" s="272"/>
      <c r="D5" s="272"/>
      <c r="E5" s="272"/>
      <c r="F5" s="272"/>
      <c r="G5" s="272"/>
      <c r="H5" s="272"/>
      <c r="I5" s="272"/>
    </row>
    <row r="6" spans="1:9" ht="18" customHeight="1" x14ac:dyDescent="0.4">
      <c r="A6" s="87"/>
      <c r="B6" s="87"/>
      <c r="C6" s="87"/>
      <c r="D6" s="87"/>
      <c r="E6" s="87"/>
    </row>
    <row r="8" spans="1:9" ht="30" x14ac:dyDescent="0.2">
      <c r="A8" s="273" t="s">
        <v>42</v>
      </c>
      <c r="B8" s="273"/>
      <c r="C8" s="273"/>
      <c r="D8" s="273"/>
      <c r="E8" s="273"/>
      <c r="F8" s="273"/>
      <c r="G8" s="273"/>
      <c r="H8" s="273"/>
      <c r="I8" s="273"/>
    </row>
    <row r="10" spans="1:9" ht="30" x14ac:dyDescent="0.2">
      <c r="A10" s="273" t="s">
        <v>67</v>
      </c>
      <c r="B10" s="273"/>
      <c r="C10" s="273"/>
      <c r="D10" s="273"/>
      <c r="E10" s="273"/>
      <c r="F10" s="273"/>
      <c r="G10" s="273"/>
      <c r="H10" s="273"/>
      <c r="I10" s="273"/>
    </row>
    <row r="11" spans="1:9" ht="13.5" thickBot="1" x14ac:dyDescent="0.25"/>
    <row r="12" spans="1:9" ht="21.6" customHeight="1" x14ac:dyDescent="0.2">
      <c r="A12" s="88"/>
      <c r="B12" s="89"/>
      <c r="C12" s="89"/>
      <c r="D12" s="280" t="s">
        <v>16</v>
      </c>
      <c r="E12" s="280"/>
      <c r="F12" s="280" t="s">
        <v>66</v>
      </c>
      <c r="G12" s="280"/>
      <c r="H12" s="280" t="s">
        <v>17</v>
      </c>
      <c r="I12" s="281"/>
    </row>
    <row r="13" spans="1:9" ht="21.6" customHeight="1" x14ac:dyDescent="0.2">
      <c r="A13" s="90"/>
      <c r="B13" s="49"/>
      <c r="C13" s="49"/>
      <c r="D13" s="49" t="s">
        <v>14</v>
      </c>
      <c r="E13" s="49" t="s">
        <v>15</v>
      </c>
      <c r="F13" s="49" t="s">
        <v>14</v>
      </c>
      <c r="G13" s="49" t="s">
        <v>15</v>
      </c>
      <c r="H13" s="279" t="s">
        <v>14</v>
      </c>
      <c r="I13" s="274" t="s">
        <v>15</v>
      </c>
    </row>
    <row r="14" spans="1:9" ht="26.25" customHeight="1" x14ac:dyDescent="0.2">
      <c r="A14" s="90"/>
      <c r="B14" s="49"/>
      <c r="C14" s="49"/>
      <c r="D14" s="279" t="s">
        <v>237</v>
      </c>
      <c r="E14" s="279"/>
      <c r="F14" s="279" t="s">
        <v>236</v>
      </c>
      <c r="G14" s="279"/>
      <c r="H14" s="279"/>
      <c r="I14" s="274"/>
    </row>
    <row r="15" spans="1:9" ht="24" customHeight="1" x14ac:dyDescent="0.2">
      <c r="A15" s="90"/>
      <c r="B15" s="49"/>
      <c r="C15" s="49"/>
      <c r="D15" s="277"/>
      <c r="E15" s="278"/>
      <c r="F15" s="275"/>
      <c r="G15" s="276"/>
      <c r="H15" s="173"/>
      <c r="I15" s="162"/>
    </row>
    <row r="16" spans="1:9" ht="21.6" customHeight="1" x14ac:dyDescent="0.2">
      <c r="A16" s="90" t="s">
        <v>63</v>
      </c>
      <c r="B16" s="92" t="s">
        <v>47</v>
      </c>
      <c r="C16" s="49"/>
      <c r="D16" s="160"/>
      <c r="E16" s="160"/>
      <c r="F16" s="152"/>
      <c r="G16" s="152"/>
      <c r="H16" s="173"/>
      <c r="I16" s="162"/>
    </row>
    <row r="17" spans="1:11" ht="21.6" customHeight="1" x14ac:dyDescent="0.2">
      <c r="A17" s="90">
        <v>1</v>
      </c>
      <c r="B17" s="92" t="s">
        <v>122</v>
      </c>
      <c r="C17" s="49" t="s">
        <v>61</v>
      </c>
      <c r="D17" s="258">
        <f>+E17-4102.05</f>
        <v>3607.95</v>
      </c>
      <c r="E17" s="258">
        <v>7710</v>
      </c>
      <c r="F17" s="258">
        <f>+G17-3307.67</f>
        <v>3441.3500000000004</v>
      </c>
      <c r="G17" s="258">
        <v>6749.02</v>
      </c>
      <c r="H17" s="256">
        <f>(D17-F17)/F17</f>
        <v>4.8411233963415359E-2</v>
      </c>
      <c r="I17" s="262">
        <f>(E17-G17)/G17</f>
        <v>0.14238808004717715</v>
      </c>
    </row>
    <row r="18" spans="1:11" ht="21.6" customHeight="1" x14ac:dyDescent="0.2">
      <c r="A18" s="90">
        <v>2</v>
      </c>
      <c r="B18" s="92" t="s">
        <v>110</v>
      </c>
      <c r="C18" s="49" t="s">
        <v>61</v>
      </c>
      <c r="D18" s="259"/>
      <c r="E18" s="259"/>
      <c r="F18" s="259"/>
      <c r="G18" s="259"/>
      <c r="H18" s="261"/>
      <c r="I18" s="266"/>
      <c r="J18" s="213"/>
      <c r="K18" s="214"/>
    </row>
    <row r="19" spans="1:11" ht="21.6" customHeight="1" x14ac:dyDescent="0.2">
      <c r="A19" s="90">
        <v>3</v>
      </c>
      <c r="B19" s="92" t="s">
        <v>112</v>
      </c>
      <c r="C19" s="49" t="s">
        <v>61</v>
      </c>
      <c r="D19" s="260"/>
      <c r="E19" s="260"/>
      <c r="F19" s="260"/>
      <c r="G19" s="260"/>
      <c r="H19" s="257"/>
      <c r="I19" s="263"/>
    </row>
    <row r="20" spans="1:11" ht="21.6" customHeight="1" x14ac:dyDescent="0.2">
      <c r="A20" s="90"/>
      <c r="B20" s="92" t="s">
        <v>113</v>
      </c>
      <c r="C20" s="49" t="s">
        <v>61</v>
      </c>
      <c r="D20" s="20"/>
      <c r="E20" s="20"/>
      <c r="F20" s="20"/>
      <c r="G20" s="20"/>
      <c r="H20" s="174"/>
      <c r="I20" s="175"/>
    </row>
    <row r="21" spans="1:11" ht="21.6" customHeight="1" x14ac:dyDescent="0.2">
      <c r="A21" s="90"/>
      <c r="B21" s="92" t="s">
        <v>114</v>
      </c>
      <c r="C21" s="49" t="s">
        <v>61</v>
      </c>
      <c r="D21" s="20"/>
      <c r="E21" s="20"/>
      <c r="F21" s="20"/>
      <c r="G21" s="20"/>
      <c r="H21" s="174"/>
      <c r="I21" s="175"/>
    </row>
    <row r="22" spans="1:11" ht="21.6" customHeight="1" x14ac:dyDescent="0.2">
      <c r="A22" s="90"/>
      <c r="B22" s="92" t="s">
        <v>48</v>
      </c>
      <c r="C22" s="49" t="s">
        <v>61</v>
      </c>
      <c r="D22" s="170">
        <f>+D17+D20+D21</f>
        <v>3607.95</v>
      </c>
      <c r="E22" s="170">
        <f>+E17+E20+E21</f>
        <v>7710</v>
      </c>
      <c r="F22" s="202">
        <f>+F17+F20+F21</f>
        <v>3441.3500000000004</v>
      </c>
      <c r="G22" s="202">
        <f>+G17+G20+G21</f>
        <v>6749.02</v>
      </c>
      <c r="H22" s="172">
        <f>(D22-F22)/F22</f>
        <v>4.8411233963415359E-2</v>
      </c>
      <c r="I22" s="176">
        <f>(E22-G22)/G22</f>
        <v>0.14238808004717715</v>
      </c>
    </row>
    <row r="23" spans="1:11" ht="21.6" customHeight="1" x14ac:dyDescent="0.2">
      <c r="A23" s="90"/>
      <c r="B23" s="92"/>
      <c r="C23" s="49"/>
      <c r="D23" s="20"/>
      <c r="E23" s="20"/>
      <c r="F23" s="20"/>
      <c r="G23" s="20"/>
      <c r="H23" s="174"/>
      <c r="I23" s="175"/>
    </row>
    <row r="24" spans="1:11" ht="21.6" customHeight="1" x14ac:dyDescent="0.2">
      <c r="A24" s="90" t="s">
        <v>64</v>
      </c>
      <c r="B24" s="92" t="s">
        <v>49</v>
      </c>
      <c r="C24" s="49"/>
      <c r="D24" s="20"/>
      <c r="E24" s="20"/>
      <c r="F24" s="20"/>
      <c r="G24" s="20"/>
      <c r="H24" s="174"/>
      <c r="I24" s="175"/>
    </row>
    <row r="25" spans="1:11" ht="21.6" customHeight="1" x14ac:dyDescent="0.2">
      <c r="A25" s="90">
        <v>1</v>
      </c>
      <c r="B25" s="92" t="s">
        <v>50</v>
      </c>
      <c r="C25" s="49" t="s">
        <v>61</v>
      </c>
      <c r="D25" s="170">
        <f>+D17</f>
        <v>3607.95</v>
      </c>
      <c r="E25" s="170">
        <f>+E22</f>
        <v>7710</v>
      </c>
      <c r="F25" s="202">
        <f>+F17</f>
        <v>3441.3500000000004</v>
      </c>
      <c r="G25" s="202">
        <f>+G22</f>
        <v>6749.02</v>
      </c>
      <c r="H25" s="172">
        <f t="shared" ref="H25:I37" si="0">(D25-F25)/F25</f>
        <v>4.8411233963415359E-2</v>
      </c>
      <c r="I25" s="176">
        <f t="shared" si="0"/>
        <v>0.14238808004717715</v>
      </c>
    </row>
    <row r="26" spans="1:11" ht="21.6" customHeight="1" x14ac:dyDescent="0.2">
      <c r="A26" s="90">
        <v>2</v>
      </c>
      <c r="B26" s="92" t="s">
        <v>51</v>
      </c>
      <c r="C26" s="49" t="s">
        <v>61</v>
      </c>
      <c r="D26" s="170">
        <f>+D25</f>
        <v>3607.95</v>
      </c>
      <c r="E26" s="170">
        <f>+E25</f>
        <v>7710</v>
      </c>
      <c r="F26" s="202">
        <f>+F25</f>
        <v>3441.3500000000004</v>
      </c>
      <c r="G26" s="202">
        <f>+G25</f>
        <v>6749.02</v>
      </c>
      <c r="H26" s="172">
        <f t="shared" si="0"/>
        <v>4.8411233963415359E-2</v>
      </c>
      <c r="I26" s="176">
        <f t="shared" si="0"/>
        <v>0.14238808004717715</v>
      </c>
    </row>
    <row r="27" spans="1:11" ht="21.6" customHeight="1" x14ac:dyDescent="0.2">
      <c r="A27" s="90">
        <v>3</v>
      </c>
      <c r="B27" s="92" t="s">
        <v>111</v>
      </c>
      <c r="C27" s="49" t="s">
        <v>61</v>
      </c>
      <c r="D27" s="170">
        <f>+E27-3413.74</f>
        <v>3175.26</v>
      </c>
      <c r="E27" s="170">
        <v>6589</v>
      </c>
      <c r="F27" s="202">
        <f>+G27-2855.26</f>
        <v>3004.1080000000002</v>
      </c>
      <c r="G27" s="202">
        <v>5859.3680000000004</v>
      </c>
      <c r="H27" s="172">
        <f t="shared" si="0"/>
        <v>5.6972652115037152E-2</v>
      </c>
      <c r="I27" s="176">
        <f t="shared" si="0"/>
        <v>0.12452401009801732</v>
      </c>
    </row>
    <row r="28" spans="1:11" ht="21.6" customHeight="1" x14ac:dyDescent="0.2">
      <c r="A28" s="90">
        <v>4</v>
      </c>
      <c r="B28" s="92" t="s">
        <v>115</v>
      </c>
      <c r="C28" s="49" t="s">
        <v>61</v>
      </c>
      <c r="D28" s="170">
        <f>+D26-D27</f>
        <v>432.6899999999996</v>
      </c>
      <c r="E28" s="170">
        <f>+E26-E27</f>
        <v>1121</v>
      </c>
      <c r="F28" s="202">
        <f>+F26-F27</f>
        <v>437.24200000000019</v>
      </c>
      <c r="G28" s="202">
        <f>+G26-G27</f>
        <v>889.65200000000004</v>
      </c>
      <c r="H28" s="172">
        <f t="shared" si="0"/>
        <v>-1.0410710773440308E-2</v>
      </c>
      <c r="I28" s="172">
        <f t="shared" si="0"/>
        <v>0.26004325286741325</v>
      </c>
    </row>
    <row r="29" spans="1:11" ht="21.6" customHeight="1" x14ac:dyDescent="0.2">
      <c r="A29" s="90">
        <v>5</v>
      </c>
      <c r="B29" s="92" t="s">
        <v>52</v>
      </c>
      <c r="C29" s="49" t="s">
        <v>34</v>
      </c>
      <c r="D29" s="171">
        <f>+(D28/D26)</f>
        <v>0.11992682825427171</v>
      </c>
      <c r="E29" s="171">
        <f>+(E28/E26)</f>
        <v>0.14539559014267187</v>
      </c>
      <c r="F29" s="228">
        <f>+(F28/F26)</f>
        <v>0.12705537071207523</v>
      </c>
      <c r="G29" s="228">
        <f>+(G28/G26)</f>
        <v>0.13181943452530887</v>
      </c>
      <c r="H29" s="172">
        <f>D29-F29</f>
        <v>-7.1285424578035189E-3</v>
      </c>
      <c r="I29" s="172">
        <f>E29-G29</f>
        <v>1.3576155617363E-2</v>
      </c>
    </row>
    <row r="30" spans="1:11" ht="21.6" customHeight="1" x14ac:dyDescent="0.2">
      <c r="A30" s="90"/>
      <c r="B30" s="92"/>
      <c r="C30" s="49"/>
      <c r="D30" s="20"/>
      <c r="E30" s="20"/>
      <c r="F30" s="202"/>
      <c r="G30" s="202"/>
      <c r="H30" s="172"/>
      <c r="I30" s="176"/>
    </row>
    <row r="31" spans="1:11" ht="21.6" customHeight="1" x14ac:dyDescent="0.2">
      <c r="A31" s="90" t="s">
        <v>65</v>
      </c>
      <c r="B31" s="92" t="s">
        <v>53</v>
      </c>
      <c r="C31" s="49"/>
      <c r="D31" s="20"/>
      <c r="E31" s="20"/>
      <c r="F31" s="202"/>
      <c r="G31" s="202"/>
      <c r="H31" s="172"/>
      <c r="I31" s="176"/>
    </row>
    <row r="32" spans="1:11" ht="21.6" customHeight="1" x14ac:dyDescent="0.2">
      <c r="A32" s="90">
        <v>1</v>
      </c>
      <c r="B32" s="92" t="s">
        <v>54</v>
      </c>
      <c r="C32" s="270" t="s">
        <v>62</v>
      </c>
      <c r="D32" s="268">
        <f>+E32-2186.14</f>
        <v>2223.6200000000003</v>
      </c>
      <c r="E32" s="258">
        <f>+'SHEET-5'!E25</f>
        <v>4409.76</v>
      </c>
      <c r="F32" s="258">
        <f>+G32-1936.57</f>
        <v>2078</v>
      </c>
      <c r="G32" s="258">
        <f>+'SHEET-5'!G25+67.46+74.76+74.66+77.48+78.83+78.67</f>
        <v>4014.57</v>
      </c>
      <c r="H32" s="256">
        <f t="shared" si="0"/>
        <v>7.0076997112608438E-2</v>
      </c>
      <c r="I32" s="262">
        <f t="shared" si="0"/>
        <v>9.843893617498263E-2</v>
      </c>
    </row>
    <row r="33" spans="1:9" ht="21.6" customHeight="1" x14ac:dyDescent="0.2">
      <c r="A33" s="90">
        <v>2</v>
      </c>
      <c r="B33" s="92" t="s">
        <v>55</v>
      </c>
      <c r="C33" s="271"/>
      <c r="D33" s="269"/>
      <c r="E33" s="260"/>
      <c r="F33" s="260"/>
      <c r="G33" s="260"/>
      <c r="H33" s="257"/>
      <c r="I33" s="263"/>
    </row>
    <row r="34" spans="1:9" ht="21.6" customHeight="1" x14ac:dyDescent="0.2">
      <c r="A34" s="90">
        <v>3</v>
      </c>
      <c r="B34" s="92" t="s">
        <v>56</v>
      </c>
      <c r="C34" s="49" t="s">
        <v>62</v>
      </c>
      <c r="D34" s="170">
        <f>+D32</f>
        <v>2223.6200000000003</v>
      </c>
      <c r="E34" s="170">
        <f>+E32</f>
        <v>4409.76</v>
      </c>
      <c r="F34" s="202">
        <f>+F32</f>
        <v>2078</v>
      </c>
      <c r="G34" s="202">
        <f>+G32</f>
        <v>4014.57</v>
      </c>
      <c r="H34" s="172">
        <f t="shared" si="0"/>
        <v>7.0076997112608438E-2</v>
      </c>
      <c r="I34" s="176">
        <f t="shared" si="0"/>
        <v>9.843893617498263E-2</v>
      </c>
    </row>
    <row r="35" spans="1:9" ht="21.6" customHeight="1" x14ac:dyDescent="0.2">
      <c r="A35" s="90">
        <v>4</v>
      </c>
      <c r="B35" s="92" t="s">
        <v>57</v>
      </c>
      <c r="C35" s="270" t="s">
        <v>62</v>
      </c>
      <c r="D35" s="264">
        <f>+D34*96.91%</f>
        <v>2154.9101420000002</v>
      </c>
      <c r="E35" s="264">
        <f>+E34*96.7%</f>
        <v>4264.2379200000005</v>
      </c>
      <c r="F35" s="264">
        <f>+F34*99.56%</f>
        <v>2068.8568</v>
      </c>
      <c r="G35" s="264">
        <f>+G34*95.94%</f>
        <v>3851.5784580000004</v>
      </c>
      <c r="H35" s="256">
        <f t="shared" si="0"/>
        <v>4.159463429271671E-2</v>
      </c>
      <c r="I35" s="262">
        <f t="shared" si="0"/>
        <v>0.1071403494696771</v>
      </c>
    </row>
    <row r="36" spans="1:9" ht="21.6" customHeight="1" x14ac:dyDescent="0.2">
      <c r="A36" s="90">
        <v>5</v>
      </c>
      <c r="B36" s="92" t="s">
        <v>58</v>
      </c>
      <c r="C36" s="271"/>
      <c r="D36" s="265"/>
      <c r="E36" s="265"/>
      <c r="F36" s="265"/>
      <c r="G36" s="265"/>
      <c r="H36" s="257"/>
      <c r="I36" s="263"/>
    </row>
    <row r="37" spans="1:9" ht="21.6" customHeight="1" x14ac:dyDescent="0.2">
      <c r="A37" s="90">
        <v>6</v>
      </c>
      <c r="B37" s="92" t="s">
        <v>59</v>
      </c>
      <c r="C37" s="49" t="s">
        <v>62</v>
      </c>
      <c r="D37" s="205">
        <f>+D35</f>
        <v>2154.9101420000002</v>
      </c>
      <c r="E37" s="205">
        <f>+E35</f>
        <v>4264.2379200000005</v>
      </c>
      <c r="F37" s="202">
        <f>+F35</f>
        <v>2068.8568</v>
      </c>
      <c r="G37" s="202">
        <f>+G35</f>
        <v>3851.5784580000004</v>
      </c>
      <c r="H37" s="172">
        <f t="shared" si="0"/>
        <v>4.159463429271671E-2</v>
      </c>
      <c r="I37" s="176">
        <f t="shared" si="0"/>
        <v>0.1071403494696771</v>
      </c>
    </row>
    <row r="38" spans="1:9" ht="21.6" customHeight="1" x14ac:dyDescent="0.2">
      <c r="A38" s="90">
        <v>7</v>
      </c>
      <c r="B38" s="92" t="s">
        <v>60</v>
      </c>
      <c r="C38" s="49" t="s">
        <v>34</v>
      </c>
      <c r="D38" s="206">
        <f>+D37/D34</f>
        <v>0.96909999999999996</v>
      </c>
      <c r="E38" s="206">
        <f>+E37/E34</f>
        <v>0.96700000000000008</v>
      </c>
      <c r="F38" s="197">
        <f t="shared" ref="F38:G38" si="1">F37/F34</f>
        <v>0.99560000000000004</v>
      </c>
      <c r="G38" s="197">
        <f t="shared" si="1"/>
        <v>0.95940000000000003</v>
      </c>
      <c r="H38" s="172">
        <f>D38-F38</f>
        <v>-2.6500000000000079E-2</v>
      </c>
      <c r="I38" s="172">
        <f>E38-G38</f>
        <v>7.6000000000000512E-3</v>
      </c>
    </row>
    <row r="39" spans="1:9" ht="21.6" customHeight="1" thickBot="1" x14ac:dyDescent="0.25">
      <c r="A39" s="94"/>
      <c r="B39" s="95"/>
      <c r="C39" s="21"/>
      <c r="D39" s="253"/>
      <c r="E39" s="253"/>
      <c r="F39" s="21"/>
      <c r="G39" s="21"/>
      <c r="H39" s="161"/>
      <c r="I39" s="163"/>
    </row>
    <row r="40" spans="1:9" ht="18" x14ac:dyDescent="0.2">
      <c r="F40" s="96"/>
      <c r="G40" s="96"/>
      <c r="H40" s="5"/>
      <c r="I40" s="5"/>
    </row>
    <row r="42" spans="1:9" x14ac:dyDescent="0.2">
      <c r="E42" s="207"/>
    </row>
    <row r="43" spans="1:9" ht="41.25" customHeight="1" x14ac:dyDescent="0.3">
      <c r="A43" s="267"/>
      <c r="B43" s="267"/>
      <c r="E43" s="24"/>
      <c r="F43" s="218"/>
    </row>
    <row r="47" spans="1:9" ht="18" x14ac:dyDescent="0.25">
      <c r="D47" s="189"/>
      <c r="E47" s="189"/>
      <c r="F47" s="217"/>
    </row>
    <row r="48" spans="1:9" ht="20.25" x14ac:dyDescent="0.3">
      <c r="F48" s="218"/>
    </row>
    <row r="56" spans="4:4" x14ac:dyDescent="0.2">
      <c r="D56" s="97"/>
    </row>
  </sheetData>
  <mergeCells count="33">
    <mergeCell ref="D17:D19"/>
    <mergeCell ref="E17:E19"/>
    <mergeCell ref="A5:I5"/>
    <mergeCell ref="A8:I8"/>
    <mergeCell ref="A10:I10"/>
    <mergeCell ref="I13:I14"/>
    <mergeCell ref="F15:G15"/>
    <mergeCell ref="D15:E15"/>
    <mergeCell ref="D14:E14"/>
    <mergeCell ref="H12:I12"/>
    <mergeCell ref="D12:E12"/>
    <mergeCell ref="F12:G12"/>
    <mergeCell ref="H13:H14"/>
    <mergeCell ref="F14:G14"/>
    <mergeCell ref="A43:B43"/>
    <mergeCell ref="D32:D33"/>
    <mergeCell ref="E32:E33"/>
    <mergeCell ref="F32:F33"/>
    <mergeCell ref="E35:E36"/>
    <mergeCell ref="D35:D36"/>
    <mergeCell ref="F35:F36"/>
    <mergeCell ref="C35:C36"/>
    <mergeCell ref="C32:C33"/>
    <mergeCell ref="H35:H36"/>
    <mergeCell ref="F17:F19"/>
    <mergeCell ref="G17:G19"/>
    <mergeCell ref="H17:H19"/>
    <mergeCell ref="I35:I36"/>
    <mergeCell ref="G35:G36"/>
    <mergeCell ref="I32:I33"/>
    <mergeCell ref="G32:G33"/>
    <mergeCell ref="I17:I19"/>
    <mergeCell ref="H32:H33"/>
  </mergeCells>
  <phoneticPr fontId="2" type="noConversion"/>
  <printOptions horizontalCentered="1" verticalCentered="1"/>
  <pageMargins left="0.25" right="0.25" top="0.75" bottom="0.25" header="0.5" footer="0.5"/>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opLeftCell="A55" workbookViewId="0">
      <selection activeCell="E69" sqref="E69"/>
    </sheetView>
  </sheetViews>
  <sheetFormatPr defaultRowHeight="15" customHeight="1" x14ac:dyDescent="0.2"/>
  <cols>
    <col min="1" max="1" width="16.140625" customWidth="1"/>
    <col min="2" max="2" width="24.7109375" customWidth="1"/>
    <col min="3" max="3" width="19.5703125" customWidth="1"/>
    <col min="4" max="4" width="20.5703125" customWidth="1"/>
    <col min="5" max="5" width="20.7109375" customWidth="1"/>
    <col min="6" max="6" width="18.42578125" customWidth="1"/>
    <col min="7" max="7" width="20.42578125" customWidth="1"/>
    <col min="8" max="8" width="16" customWidth="1"/>
    <col min="9" max="9" width="22.85546875" customWidth="1"/>
    <col min="10" max="10" width="16.28515625" customWidth="1"/>
    <col min="11" max="11" width="17.42578125" customWidth="1"/>
  </cols>
  <sheetData>
    <row r="1" spans="1:11" ht="15" customHeight="1" x14ac:dyDescent="0.3">
      <c r="A1" s="31" t="s">
        <v>129</v>
      </c>
      <c r="B1" s="31" t="s">
        <v>130</v>
      </c>
      <c r="C1" s="32" t="s">
        <v>131</v>
      </c>
      <c r="D1" s="32" t="s">
        <v>132</v>
      </c>
      <c r="E1" s="32" t="s">
        <v>133</v>
      </c>
      <c r="F1" s="32" t="s">
        <v>134</v>
      </c>
      <c r="G1" s="32" t="s">
        <v>135</v>
      </c>
      <c r="H1" s="32" t="s">
        <v>136</v>
      </c>
      <c r="I1" s="32" t="s">
        <v>137</v>
      </c>
      <c r="J1" s="32" t="s">
        <v>138</v>
      </c>
      <c r="K1" s="32" t="s">
        <v>139</v>
      </c>
    </row>
    <row r="2" spans="1:11" ht="15" customHeight="1" x14ac:dyDescent="0.25">
      <c r="A2" s="33" t="s">
        <v>140</v>
      </c>
      <c r="B2" s="33"/>
      <c r="C2" s="33"/>
      <c r="D2" s="33"/>
      <c r="E2" s="33"/>
      <c r="F2" s="33"/>
      <c r="G2" s="33"/>
      <c r="H2" s="33"/>
      <c r="I2" s="33"/>
      <c r="J2" s="33"/>
      <c r="K2" s="33"/>
    </row>
    <row r="3" spans="1:11" ht="15" customHeight="1" x14ac:dyDescent="0.25">
      <c r="A3" s="34">
        <v>1</v>
      </c>
      <c r="B3" s="34" t="s">
        <v>2</v>
      </c>
      <c r="C3" s="35">
        <v>3116069269.4099998</v>
      </c>
      <c r="D3" s="35">
        <v>17043896.82</v>
      </c>
      <c r="E3" s="35">
        <v>172650.77</v>
      </c>
      <c r="F3" s="35">
        <v>343600985.27999997</v>
      </c>
      <c r="G3" s="35">
        <v>0</v>
      </c>
      <c r="H3" s="35">
        <v>73554896.5</v>
      </c>
      <c r="I3" s="35">
        <v>227109.15</v>
      </c>
      <c r="J3" s="35">
        <v>18633312.23</v>
      </c>
      <c r="K3" s="35">
        <v>3569302120.1599998</v>
      </c>
    </row>
    <row r="4" spans="1:11" ht="15" customHeight="1" x14ac:dyDescent="0.25">
      <c r="A4" s="34">
        <v>2</v>
      </c>
      <c r="B4" s="34" t="s">
        <v>141</v>
      </c>
      <c r="C4" s="35">
        <v>71089139.950000003</v>
      </c>
      <c r="D4" s="35">
        <v>101753.87</v>
      </c>
      <c r="E4" s="35">
        <v>17040</v>
      </c>
      <c r="F4" s="35">
        <v>7364652.4699999997</v>
      </c>
      <c r="G4" s="35">
        <v>0</v>
      </c>
      <c r="H4" s="35">
        <v>748929.5</v>
      </c>
      <c r="I4" s="35">
        <v>23532.400000000001</v>
      </c>
      <c r="J4" s="35">
        <v>453786.14</v>
      </c>
      <c r="K4" s="35">
        <v>79798834.329999998</v>
      </c>
    </row>
    <row r="5" spans="1:11" ht="15" customHeight="1" x14ac:dyDescent="0.25">
      <c r="A5" s="34">
        <v>3</v>
      </c>
      <c r="B5" s="34" t="s">
        <v>142</v>
      </c>
      <c r="C5" s="35">
        <v>2127392756.0799999</v>
      </c>
      <c r="D5" s="35">
        <v>10987310.15</v>
      </c>
      <c r="E5" s="35">
        <v>55383.85</v>
      </c>
      <c r="F5" s="35">
        <v>335242088.61000001</v>
      </c>
      <c r="G5" s="35">
        <v>0</v>
      </c>
      <c r="H5" s="35">
        <v>15904544</v>
      </c>
      <c r="I5" s="35">
        <v>285434.14</v>
      </c>
      <c r="J5" s="35">
        <v>5771228.1399999997</v>
      </c>
      <c r="K5" s="35">
        <v>2495638744.9699998</v>
      </c>
    </row>
    <row r="6" spans="1:11" ht="15" customHeight="1" x14ac:dyDescent="0.25">
      <c r="A6" s="34"/>
      <c r="B6" s="34" t="s">
        <v>143</v>
      </c>
      <c r="C6" s="35">
        <v>78023457.159999996</v>
      </c>
      <c r="D6" s="35">
        <v>0</v>
      </c>
      <c r="E6" s="35">
        <v>0</v>
      </c>
      <c r="F6" s="35">
        <v>19271785.379999999</v>
      </c>
      <c r="G6" s="35">
        <v>0</v>
      </c>
      <c r="H6" s="35">
        <v>469841</v>
      </c>
      <c r="I6" s="35">
        <v>303675.78000000003</v>
      </c>
      <c r="J6" s="35">
        <v>245968.69</v>
      </c>
      <c r="K6" s="35">
        <v>98314728.010000005</v>
      </c>
    </row>
    <row r="7" spans="1:11" ht="15" customHeight="1" x14ac:dyDescent="0.25">
      <c r="A7" s="34"/>
      <c r="B7" s="34" t="s">
        <v>144</v>
      </c>
      <c r="C7" s="35">
        <v>2205416213.2399998</v>
      </c>
      <c r="D7" s="35">
        <v>10987310.15</v>
      </c>
      <c r="E7" s="35">
        <v>55383.85</v>
      </c>
      <c r="F7" s="35">
        <v>354513873.99000001</v>
      </c>
      <c r="G7" s="35">
        <v>0</v>
      </c>
      <c r="H7" s="35">
        <v>16374385</v>
      </c>
      <c r="I7" s="35">
        <v>589109.92000000004</v>
      </c>
      <c r="J7" s="35">
        <v>6017196.8300000001</v>
      </c>
      <c r="K7" s="35">
        <v>2593953472.98</v>
      </c>
    </row>
    <row r="8" spans="1:11" ht="15" customHeight="1" x14ac:dyDescent="0.25">
      <c r="A8" s="34">
        <v>4</v>
      </c>
      <c r="B8" s="34" t="s">
        <v>145</v>
      </c>
      <c r="C8" s="35">
        <v>229130849.12</v>
      </c>
      <c r="D8" s="35">
        <v>7024.2</v>
      </c>
      <c r="E8" s="35">
        <v>360</v>
      </c>
      <c r="F8" s="35">
        <v>3568735.55</v>
      </c>
      <c r="G8" s="35">
        <v>0</v>
      </c>
      <c r="H8" s="35">
        <v>1043824</v>
      </c>
      <c r="I8" s="35">
        <v>84685</v>
      </c>
      <c r="J8" s="35">
        <v>38964479.619999997</v>
      </c>
      <c r="K8" s="35">
        <v>272799957.49000001</v>
      </c>
    </row>
    <row r="9" spans="1:11" ht="15" customHeight="1" x14ac:dyDescent="0.25">
      <c r="A9" s="34">
        <v>5</v>
      </c>
      <c r="B9" s="34" t="s">
        <v>5</v>
      </c>
      <c r="C9" s="35">
        <v>224828301.09</v>
      </c>
      <c r="D9" s="35">
        <v>1100948.82</v>
      </c>
      <c r="E9" s="35">
        <v>69162.009999999995</v>
      </c>
      <c r="F9" s="35">
        <v>32851.339999999997</v>
      </c>
      <c r="G9" s="35">
        <v>0</v>
      </c>
      <c r="H9" s="35">
        <v>6727882.5</v>
      </c>
      <c r="I9" s="35">
        <v>96521.78</v>
      </c>
      <c r="J9" s="35">
        <v>1507359.23</v>
      </c>
      <c r="K9" s="35">
        <v>234363026.77000001</v>
      </c>
    </row>
    <row r="10" spans="1:11" ht="15" customHeight="1" x14ac:dyDescent="0.25">
      <c r="A10" s="34">
        <v>6</v>
      </c>
      <c r="B10" s="34" t="s">
        <v>146</v>
      </c>
      <c r="C10" s="35">
        <v>93088768.859999999</v>
      </c>
      <c r="D10" s="35">
        <v>0</v>
      </c>
      <c r="E10" s="35">
        <v>0</v>
      </c>
      <c r="F10" s="35">
        <v>833815.28</v>
      </c>
      <c r="G10" s="35">
        <v>0</v>
      </c>
      <c r="H10" s="35">
        <v>302109.5</v>
      </c>
      <c r="I10" s="35">
        <v>89765.18</v>
      </c>
      <c r="J10" s="35">
        <v>4559629.57</v>
      </c>
      <c r="K10" s="35">
        <v>98874088.390000001</v>
      </c>
    </row>
    <row r="11" spans="1:11" ht="15" customHeight="1" x14ac:dyDescent="0.25">
      <c r="A11" s="34">
        <v>7</v>
      </c>
      <c r="B11" s="34" t="s">
        <v>147</v>
      </c>
      <c r="C11" s="35">
        <v>2188369.91</v>
      </c>
      <c r="D11" s="35">
        <v>52177.62</v>
      </c>
      <c r="E11" s="35">
        <v>0</v>
      </c>
      <c r="F11" s="35">
        <v>239472.02</v>
      </c>
      <c r="G11" s="35">
        <v>0</v>
      </c>
      <c r="H11" s="35">
        <v>183965.5</v>
      </c>
      <c r="I11" s="35">
        <v>10954.81</v>
      </c>
      <c r="J11" s="35">
        <v>1881544.86</v>
      </c>
      <c r="K11" s="35">
        <v>4556484.72</v>
      </c>
    </row>
    <row r="12" spans="1:11" ht="15" customHeight="1" x14ac:dyDescent="0.25">
      <c r="A12" s="34">
        <v>8</v>
      </c>
      <c r="B12" s="34" t="s">
        <v>148</v>
      </c>
      <c r="C12" s="35">
        <v>1346751.03</v>
      </c>
      <c r="D12" s="35">
        <v>29611.200000000001</v>
      </c>
      <c r="E12" s="35">
        <v>0</v>
      </c>
      <c r="F12" s="35">
        <v>0</v>
      </c>
      <c r="G12" s="35">
        <v>0</v>
      </c>
      <c r="H12" s="35">
        <v>0</v>
      </c>
      <c r="I12" s="35">
        <v>0</v>
      </c>
      <c r="J12" s="35">
        <v>12750.19</v>
      </c>
      <c r="K12" s="35">
        <v>1389112.42</v>
      </c>
    </row>
    <row r="13" spans="1:11" ht="15" customHeight="1" x14ac:dyDescent="0.25">
      <c r="A13" s="34">
        <v>9</v>
      </c>
      <c r="B13" s="34" t="s">
        <v>149</v>
      </c>
      <c r="C13" s="35">
        <v>0</v>
      </c>
      <c r="D13" s="35">
        <v>3642101.75</v>
      </c>
      <c r="E13" s="35">
        <v>0</v>
      </c>
      <c r="F13" s="35">
        <v>384932.08</v>
      </c>
      <c r="G13" s="35">
        <v>0</v>
      </c>
      <c r="H13" s="35">
        <v>0</v>
      </c>
      <c r="I13" s="35">
        <v>46327.9</v>
      </c>
      <c r="J13" s="35">
        <v>55.4</v>
      </c>
      <c r="K13" s="35">
        <v>4073417.13</v>
      </c>
    </row>
    <row r="14" spans="1:11" ht="15" customHeight="1" x14ac:dyDescent="0.25">
      <c r="A14" s="34">
        <v>10</v>
      </c>
      <c r="B14" s="34" t="s">
        <v>150</v>
      </c>
      <c r="C14" s="35">
        <v>5861599084.5100002</v>
      </c>
      <c r="D14" s="35">
        <v>29240933.859999999</v>
      </c>
      <c r="E14" s="35">
        <v>314596.63</v>
      </c>
      <c r="F14" s="35">
        <v>690643128.52999997</v>
      </c>
      <c r="G14" s="35">
        <v>0</v>
      </c>
      <c r="H14" s="35">
        <v>98282186</v>
      </c>
      <c r="I14" s="35">
        <v>807047.65</v>
      </c>
      <c r="J14" s="35">
        <v>69889794.930000007</v>
      </c>
      <c r="K14" s="35">
        <v>6750776772.1099997</v>
      </c>
    </row>
    <row r="15" spans="1:11" ht="15" customHeight="1" x14ac:dyDescent="0.25">
      <c r="A15" s="34">
        <v>11</v>
      </c>
      <c r="B15" s="34" t="s">
        <v>151</v>
      </c>
      <c r="C15" s="35">
        <v>3535120.94</v>
      </c>
      <c r="D15" s="35">
        <v>81788.820000000007</v>
      </c>
      <c r="E15" s="35">
        <v>0</v>
      </c>
      <c r="F15" s="35">
        <v>239472.02</v>
      </c>
      <c r="G15" s="35">
        <v>0</v>
      </c>
      <c r="H15" s="35">
        <v>183965.5</v>
      </c>
      <c r="I15" s="35">
        <v>10954.81</v>
      </c>
      <c r="J15" s="35">
        <v>1894295.05</v>
      </c>
      <c r="K15" s="35">
        <v>5945597.1399999997</v>
      </c>
    </row>
    <row r="16" spans="1:11" ht="15" customHeight="1" x14ac:dyDescent="0.25">
      <c r="A16" s="34">
        <v>12</v>
      </c>
      <c r="B16" s="34" t="s">
        <v>152</v>
      </c>
      <c r="C16" s="35">
        <v>78023457.159999996</v>
      </c>
      <c r="D16" s="35">
        <v>3642101.75</v>
      </c>
      <c r="E16" s="35">
        <v>0</v>
      </c>
      <c r="F16" s="35">
        <v>19656717.460000001</v>
      </c>
      <c r="G16" s="35">
        <v>0</v>
      </c>
      <c r="H16" s="35">
        <v>469841</v>
      </c>
      <c r="I16" s="35">
        <v>350003.68</v>
      </c>
      <c r="J16" s="35">
        <v>246024.09</v>
      </c>
      <c r="K16" s="35">
        <v>102388145.14</v>
      </c>
    </row>
    <row r="17" spans="1:11" ht="15" customHeight="1" x14ac:dyDescent="0.25">
      <c r="A17" s="34">
        <v>13</v>
      </c>
      <c r="B17" s="34" t="s">
        <v>153</v>
      </c>
      <c r="C17" s="35">
        <v>5943157662.6099997</v>
      </c>
      <c r="D17" s="35">
        <v>32964824.43</v>
      </c>
      <c r="E17" s="35">
        <v>314596.63</v>
      </c>
      <c r="F17" s="35">
        <v>710539318.00999999</v>
      </c>
      <c r="G17" s="35">
        <v>0</v>
      </c>
      <c r="H17" s="35">
        <v>98935992.5</v>
      </c>
      <c r="I17" s="35">
        <v>1168006.1399999999</v>
      </c>
      <c r="J17" s="35">
        <v>72030114.069999993</v>
      </c>
      <c r="K17" s="35">
        <v>6859110514.3900003</v>
      </c>
    </row>
    <row r="18" spans="1:11" ht="15" customHeight="1" x14ac:dyDescent="0.25">
      <c r="A18" s="33" t="s">
        <v>140</v>
      </c>
      <c r="B18" s="33"/>
      <c r="C18" s="33"/>
      <c r="D18" s="33"/>
      <c r="E18" s="33"/>
      <c r="F18" s="33"/>
      <c r="G18" s="33"/>
      <c r="H18" s="33"/>
      <c r="I18" s="33"/>
      <c r="J18" s="33"/>
      <c r="K18" s="33"/>
    </row>
    <row r="19" spans="1:11" ht="15" customHeight="1" x14ac:dyDescent="0.3">
      <c r="A19" s="36" t="s">
        <v>154</v>
      </c>
      <c r="B19" s="36"/>
      <c r="C19" s="36"/>
      <c r="D19" s="36"/>
      <c r="E19" s="36"/>
      <c r="F19" s="36"/>
      <c r="G19" s="36"/>
      <c r="H19" s="36"/>
      <c r="I19" s="36"/>
      <c r="J19" s="36"/>
      <c r="K19" s="36"/>
    </row>
    <row r="20" spans="1:11" ht="15" customHeight="1" x14ac:dyDescent="0.25">
      <c r="A20" s="33" t="s">
        <v>140</v>
      </c>
      <c r="B20" s="33"/>
      <c r="C20" s="33"/>
      <c r="D20" s="33"/>
      <c r="E20" s="33"/>
      <c r="F20" s="33"/>
      <c r="G20" s="33"/>
      <c r="H20" s="33"/>
      <c r="I20" s="33"/>
      <c r="J20" s="33"/>
      <c r="K20" s="33"/>
    </row>
    <row r="21" spans="1:11" ht="15" customHeight="1" x14ac:dyDescent="0.3">
      <c r="A21" s="31" t="s">
        <v>129</v>
      </c>
      <c r="B21" s="31" t="s">
        <v>130</v>
      </c>
      <c r="C21" s="32" t="s">
        <v>155</v>
      </c>
      <c r="D21" s="32" t="s">
        <v>156</v>
      </c>
      <c r="E21" s="32" t="s">
        <v>157</v>
      </c>
      <c r="F21" s="32" t="s">
        <v>158</v>
      </c>
      <c r="G21" s="32" t="s">
        <v>159</v>
      </c>
      <c r="H21" s="32" t="s">
        <v>160</v>
      </c>
      <c r="I21" s="32" t="s">
        <v>161</v>
      </c>
      <c r="J21" s="32" t="s">
        <v>162</v>
      </c>
      <c r="K21" s="32" t="s">
        <v>163</v>
      </c>
    </row>
    <row r="22" spans="1:11" ht="15" customHeight="1" x14ac:dyDescent="0.25">
      <c r="A22" s="33" t="s">
        <v>140</v>
      </c>
      <c r="B22" s="33"/>
      <c r="C22" s="33"/>
      <c r="D22" s="33"/>
      <c r="E22" s="33"/>
      <c r="F22" s="33"/>
      <c r="G22" s="33"/>
      <c r="H22" s="33"/>
      <c r="I22" s="33"/>
      <c r="J22" s="33"/>
      <c r="K22" s="33"/>
    </row>
    <row r="23" spans="1:11" ht="15" customHeight="1" x14ac:dyDescent="0.25">
      <c r="A23" s="34">
        <v>1</v>
      </c>
      <c r="B23" s="34" t="s">
        <v>2</v>
      </c>
      <c r="C23" s="35">
        <v>1178560</v>
      </c>
      <c r="D23" s="35">
        <v>547896815</v>
      </c>
      <c r="E23" s="35">
        <v>108936347.28</v>
      </c>
      <c r="F23" s="35">
        <v>2277778320.7800002</v>
      </c>
      <c r="G23" s="35">
        <v>698827103.16999996</v>
      </c>
      <c r="H23" s="35">
        <v>0</v>
      </c>
      <c r="I23" s="35">
        <v>23878038.489999998</v>
      </c>
      <c r="J23" s="35">
        <v>6649459.6900000004</v>
      </c>
      <c r="K23" s="35">
        <v>3116069269.4099998</v>
      </c>
    </row>
    <row r="24" spans="1:11" ht="15" customHeight="1" x14ac:dyDescent="0.25">
      <c r="A24" s="34">
        <v>2</v>
      </c>
      <c r="B24" s="34" t="s">
        <v>141</v>
      </c>
      <c r="C24" s="35">
        <v>10324</v>
      </c>
      <c r="D24" s="35">
        <v>12238984</v>
      </c>
      <c r="E24" s="35">
        <v>3352066.04</v>
      </c>
      <c r="F24" s="35">
        <v>49361466.770000003</v>
      </c>
      <c r="G24" s="35">
        <v>14977587.99</v>
      </c>
      <c r="H24" s="35">
        <v>0</v>
      </c>
      <c r="I24" s="35">
        <v>3186689.16</v>
      </c>
      <c r="J24" s="35">
        <v>211329.99</v>
      </c>
      <c r="K24" s="35">
        <v>71089139.950000003</v>
      </c>
    </row>
    <row r="25" spans="1:11" ht="15" customHeight="1" x14ac:dyDescent="0.25">
      <c r="A25" s="34">
        <v>3</v>
      </c>
      <c r="B25" s="34" t="s">
        <v>142</v>
      </c>
      <c r="C25" s="35">
        <v>141223</v>
      </c>
      <c r="D25" s="35">
        <v>308942121</v>
      </c>
      <c r="E25" s="35">
        <v>209816323.53</v>
      </c>
      <c r="F25" s="35">
        <v>1506771323.96</v>
      </c>
      <c r="G25" s="35">
        <v>383974357.43000001</v>
      </c>
      <c r="H25" s="35">
        <v>243868.04</v>
      </c>
      <c r="I25" s="35">
        <v>12422367.029999999</v>
      </c>
      <c r="J25" s="35">
        <v>14164516.09</v>
      </c>
      <c r="K25" s="35">
        <v>2127392756.0799999</v>
      </c>
    </row>
    <row r="26" spans="1:11" ht="15" customHeight="1" x14ac:dyDescent="0.25">
      <c r="A26" s="34"/>
      <c r="B26" s="34" t="s">
        <v>143</v>
      </c>
      <c r="C26" s="35">
        <v>4704</v>
      </c>
      <c r="D26" s="35">
        <v>8930434</v>
      </c>
      <c r="E26" s="35">
        <v>26180158.879999999</v>
      </c>
      <c r="F26" s="35">
        <v>41354591.560000002</v>
      </c>
      <c r="G26" s="35">
        <v>10417808.65</v>
      </c>
      <c r="H26" s="35">
        <v>0</v>
      </c>
      <c r="I26" s="35">
        <v>0</v>
      </c>
      <c r="J26" s="35">
        <v>70898.070000000007</v>
      </c>
      <c r="K26" s="35">
        <v>78023457.159999996</v>
      </c>
    </row>
    <row r="27" spans="1:11" ht="15" customHeight="1" x14ac:dyDescent="0.25">
      <c r="A27" s="34"/>
      <c r="B27" s="34" t="s">
        <v>144</v>
      </c>
      <c r="C27" s="35">
        <v>145927</v>
      </c>
      <c r="D27" s="35">
        <v>317872555</v>
      </c>
      <c r="E27" s="35">
        <v>235996482.41</v>
      </c>
      <c r="F27" s="35">
        <v>1548125915.52</v>
      </c>
      <c r="G27" s="35">
        <v>394392166.07999998</v>
      </c>
      <c r="H27" s="35">
        <v>243868.04</v>
      </c>
      <c r="I27" s="35">
        <v>12422367.029999999</v>
      </c>
      <c r="J27" s="35">
        <v>14235414.16</v>
      </c>
      <c r="K27" s="35">
        <v>2205416213.2399998</v>
      </c>
    </row>
    <row r="28" spans="1:11" ht="15" customHeight="1" x14ac:dyDescent="0.25">
      <c r="A28" s="34">
        <v>4</v>
      </c>
      <c r="B28" s="34" t="s">
        <v>145</v>
      </c>
      <c r="C28" s="35">
        <v>8003</v>
      </c>
      <c r="D28" s="35">
        <v>48527153</v>
      </c>
      <c r="E28" s="35">
        <v>1355207.11</v>
      </c>
      <c r="F28" s="35">
        <v>164401308.53999999</v>
      </c>
      <c r="G28" s="35">
        <v>58237665.729999997</v>
      </c>
      <c r="H28" s="35">
        <v>0</v>
      </c>
      <c r="I28" s="35">
        <v>2690678.79</v>
      </c>
      <c r="J28" s="35">
        <v>2445988.9500000002</v>
      </c>
      <c r="K28" s="35">
        <v>229130849.12</v>
      </c>
    </row>
    <row r="29" spans="1:11" ht="15" customHeight="1" x14ac:dyDescent="0.25">
      <c r="A29" s="34">
        <v>5</v>
      </c>
      <c r="B29" s="34" t="s">
        <v>5</v>
      </c>
      <c r="C29" s="35">
        <v>64962</v>
      </c>
      <c r="D29" s="35">
        <v>168792969</v>
      </c>
      <c r="E29" s="35">
        <v>32021768.899999999</v>
      </c>
      <c r="F29" s="35">
        <v>186279271.38999999</v>
      </c>
      <c r="G29" s="35">
        <v>0</v>
      </c>
      <c r="H29" s="35">
        <v>0</v>
      </c>
      <c r="I29" s="35">
        <v>5083644.16</v>
      </c>
      <c r="J29" s="35">
        <v>1443616.64</v>
      </c>
      <c r="K29" s="35">
        <v>224828301.09</v>
      </c>
    </row>
    <row r="30" spans="1:11" ht="15" customHeight="1" x14ac:dyDescent="0.25">
      <c r="A30" s="34">
        <v>6</v>
      </c>
      <c r="B30" s="34" t="s">
        <v>146</v>
      </c>
      <c r="C30" s="35">
        <v>4333</v>
      </c>
      <c r="D30" s="35">
        <v>15223858</v>
      </c>
      <c r="E30" s="35">
        <v>212629.18</v>
      </c>
      <c r="F30" s="35">
        <v>71319701.260000005</v>
      </c>
      <c r="G30" s="35">
        <v>20672610.43</v>
      </c>
      <c r="H30" s="35">
        <v>0</v>
      </c>
      <c r="I30" s="35">
        <v>303088.92</v>
      </c>
      <c r="J30" s="35">
        <v>580739.06999999995</v>
      </c>
      <c r="K30" s="35">
        <v>93088768.859999999</v>
      </c>
    </row>
    <row r="31" spans="1:11" ht="15" customHeight="1" x14ac:dyDescent="0.25">
      <c r="A31" s="34">
        <v>7</v>
      </c>
      <c r="B31" s="34" t="s">
        <v>147</v>
      </c>
      <c r="C31" s="35">
        <v>75006</v>
      </c>
      <c r="D31" s="35">
        <v>254352</v>
      </c>
      <c r="E31" s="35">
        <v>0</v>
      </c>
      <c r="F31" s="35">
        <v>0</v>
      </c>
      <c r="G31" s="35">
        <v>0</v>
      </c>
      <c r="H31" s="35">
        <v>0</v>
      </c>
      <c r="I31" s="35">
        <v>0</v>
      </c>
      <c r="J31" s="35">
        <v>2188369.91</v>
      </c>
      <c r="K31" s="35">
        <v>2188369.91</v>
      </c>
    </row>
    <row r="32" spans="1:11" ht="15" customHeight="1" x14ac:dyDescent="0.25">
      <c r="A32" s="34">
        <v>8</v>
      </c>
      <c r="B32" s="34" t="s">
        <v>148</v>
      </c>
      <c r="C32" s="35">
        <v>2231</v>
      </c>
      <c r="D32" s="35">
        <v>0</v>
      </c>
      <c r="E32" s="35">
        <v>1316135.1299999999</v>
      </c>
      <c r="F32" s="35">
        <v>5130</v>
      </c>
      <c r="G32" s="35">
        <v>0</v>
      </c>
      <c r="H32" s="35">
        <v>0</v>
      </c>
      <c r="I32" s="35">
        <v>0</v>
      </c>
      <c r="J32" s="35">
        <v>25485.9</v>
      </c>
      <c r="K32" s="35">
        <v>1346751.03</v>
      </c>
    </row>
    <row r="33" spans="1:11" ht="15" customHeight="1" x14ac:dyDescent="0.25">
      <c r="A33" s="34">
        <v>9</v>
      </c>
      <c r="B33" s="34" t="s">
        <v>149</v>
      </c>
      <c r="C33" s="35">
        <v>255</v>
      </c>
      <c r="D33" s="35">
        <v>740096</v>
      </c>
      <c r="E33" s="35">
        <v>0</v>
      </c>
      <c r="F33" s="35">
        <v>0</v>
      </c>
      <c r="G33" s="35">
        <v>0</v>
      </c>
      <c r="H33" s="35">
        <v>0</v>
      </c>
      <c r="I33" s="35">
        <v>0</v>
      </c>
      <c r="J33" s="35">
        <v>0</v>
      </c>
      <c r="K33" s="35">
        <v>0</v>
      </c>
    </row>
    <row r="34" spans="1:11" ht="15" customHeight="1" x14ac:dyDescent="0.25">
      <c r="A34" s="34">
        <v>10</v>
      </c>
      <c r="B34" s="34" t="s">
        <v>150</v>
      </c>
      <c r="C34" s="35">
        <v>1407405</v>
      </c>
      <c r="D34" s="35">
        <v>1101621900</v>
      </c>
      <c r="E34" s="35">
        <v>355694342.04000002</v>
      </c>
      <c r="F34" s="35">
        <v>4255911392.6999998</v>
      </c>
      <c r="G34" s="35">
        <v>1176689324.75</v>
      </c>
      <c r="H34" s="35">
        <v>243868.04</v>
      </c>
      <c r="I34" s="35">
        <v>47564506.549999997</v>
      </c>
      <c r="J34" s="35">
        <v>25495650.43</v>
      </c>
      <c r="K34" s="35">
        <v>5861599084.5100002</v>
      </c>
    </row>
    <row r="35" spans="1:11" ht="15" customHeight="1" x14ac:dyDescent="0.25">
      <c r="A35" s="34">
        <v>11</v>
      </c>
      <c r="B35" s="34" t="s">
        <v>164</v>
      </c>
      <c r="C35" s="35">
        <v>77237</v>
      </c>
      <c r="D35" s="35">
        <v>254352</v>
      </c>
      <c r="E35" s="35">
        <v>1316135.1299999999</v>
      </c>
      <c r="F35" s="35">
        <v>5130</v>
      </c>
      <c r="G35" s="35">
        <v>0</v>
      </c>
      <c r="H35" s="35">
        <v>0</v>
      </c>
      <c r="I35" s="35">
        <v>0</v>
      </c>
      <c r="J35" s="35">
        <v>2213855.81</v>
      </c>
      <c r="K35" s="35">
        <v>3535120.94</v>
      </c>
    </row>
    <row r="36" spans="1:11" ht="15" customHeight="1" x14ac:dyDescent="0.25">
      <c r="A36" s="34">
        <v>12</v>
      </c>
      <c r="B36" s="34" t="s">
        <v>152</v>
      </c>
      <c r="C36" s="35">
        <v>4959</v>
      </c>
      <c r="D36" s="35">
        <v>9670530</v>
      </c>
      <c r="E36" s="35">
        <v>26180158.879999999</v>
      </c>
      <c r="F36" s="35">
        <v>41354591.560000002</v>
      </c>
      <c r="G36" s="35">
        <v>10417808.65</v>
      </c>
      <c r="H36" s="35">
        <v>0</v>
      </c>
      <c r="I36" s="35">
        <v>0</v>
      </c>
      <c r="J36" s="35">
        <v>70898.070000000007</v>
      </c>
      <c r="K36" s="35">
        <v>78023457.159999996</v>
      </c>
    </row>
    <row r="37" spans="1:11" ht="15" customHeight="1" x14ac:dyDescent="0.25">
      <c r="A37" s="34">
        <v>13</v>
      </c>
      <c r="B37" s="34" t="s">
        <v>153</v>
      </c>
      <c r="C37" s="35">
        <v>1489601</v>
      </c>
      <c r="D37" s="35">
        <v>1111546782</v>
      </c>
      <c r="E37" s="35">
        <v>383190636.05000001</v>
      </c>
      <c r="F37" s="35">
        <v>4297271114.2600002</v>
      </c>
      <c r="G37" s="35">
        <v>1187107133.4000001</v>
      </c>
      <c r="H37" s="35">
        <v>243868.04</v>
      </c>
      <c r="I37" s="35">
        <v>47564506.549999997</v>
      </c>
      <c r="J37" s="35">
        <v>27780404.309999999</v>
      </c>
      <c r="K37" s="35">
        <v>5943157662.6099997</v>
      </c>
    </row>
    <row r="38" spans="1:11" ht="15" customHeight="1" x14ac:dyDescent="0.25">
      <c r="A38" s="33" t="s">
        <v>140</v>
      </c>
      <c r="B38" s="33"/>
      <c r="C38" s="33"/>
      <c r="D38" s="33"/>
      <c r="E38" s="33"/>
      <c r="F38" s="33"/>
      <c r="G38" s="33"/>
      <c r="H38" s="33"/>
      <c r="I38" s="33"/>
      <c r="J38" s="33"/>
      <c r="K38" s="33"/>
    </row>
    <row r="39" spans="1:11" ht="15" customHeight="1" x14ac:dyDescent="0.2">
      <c r="A39" s="37"/>
      <c r="B39" s="37"/>
      <c r="C39" s="37"/>
      <c r="D39" s="37"/>
      <c r="E39" s="37"/>
      <c r="F39" s="37"/>
      <c r="G39" s="37"/>
      <c r="H39" s="37"/>
      <c r="I39" s="37"/>
      <c r="J39" s="37"/>
      <c r="K39" s="37"/>
    </row>
    <row r="40" spans="1:11" ht="15" customHeight="1" x14ac:dyDescent="0.2">
      <c r="A40" s="37"/>
      <c r="B40" s="37"/>
      <c r="C40" s="37"/>
      <c r="D40" s="37"/>
      <c r="E40" s="37"/>
      <c r="F40" s="37"/>
      <c r="G40" s="37"/>
      <c r="H40" s="37"/>
      <c r="I40" s="37"/>
      <c r="J40" s="37"/>
      <c r="K40" s="37"/>
    </row>
    <row r="41" spans="1:11" ht="15" customHeight="1" x14ac:dyDescent="0.25">
      <c r="A41" s="33" t="s">
        <v>165</v>
      </c>
      <c r="B41" s="33"/>
      <c r="C41" s="33"/>
      <c r="D41" s="33"/>
      <c r="E41" s="33"/>
      <c r="F41" s="33"/>
      <c r="G41" s="33"/>
      <c r="H41" s="33"/>
      <c r="I41" s="33"/>
      <c r="J41" s="33"/>
      <c r="K41" s="33"/>
    </row>
    <row r="42" spans="1:11" ht="15" customHeight="1" x14ac:dyDescent="0.3">
      <c r="A42" s="36" t="s">
        <v>166</v>
      </c>
      <c r="B42" s="36"/>
      <c r="C42" s="36"/>
      <c r="D42" s="36"/>
      <c r="E42" s="36" t="s">
        <v>167</v>
      </c>
      <c r="F42" s="36"/>
      <c r="G42" s="36"/>
      <c r="H42" s="36"/>
      <c r="I42" s="36" t="s">
        <v>168</v>
      </c>
      <c r="J42" s="36"/>
      <c r="K42" s="36"/>
    </row>
    <row r="43" spans="1:11" ht="15" customHeight="1" x14ac:dyDescent="0.3">
      <c r="A43" s="36" t="s">
        <v>169</v>
      </c>
      <c r="B43" s="36"/>
      <c r="C43" s="36" t="s">
        <v>170</v>
      </c>
      <c r="D43" s="36"/>
      <c r="E43" s="36"/>
      <c r="F43" s="36" t="s">
        <v>171</v>
      </c>
      <c r="G43" s="36"/>
      <c r="H43" s="36"/>
      <c r="I43" s="36" t="s">
        <v>172</v>
      </c>
      <c r="J43" s="36"/>
      <c r="K43" s="36"/>
    </row>
    <row r="44" spans="1:11" ht="15" customHeight="1" x14ac:dyDescent="0.25">
      <c r="A44" s="33" t="s">
        <v>140</v>
      </c>
      <c r="B44" s="33"/>
      <c r="C44" s="33"/>
      <c r="D44" s="33"/>
      <c r="E44" s="33"/>
      <c r="F44" s="33"/>
      <c r="G44" s="33"/>
      <c r="H44" s="33"/>
      <c r="I44" s="33"/>
      <c r="J44" s="33"/>
      <c r="K44" s="33"/>
    </row>
    <row r="45" spans="1:11" ht="15" customHeight="1" x14ac:dyDescent="0.3">
      <c r="A45" s="31" t="s">
        <v>129</v>
      </c>
      <c r="B45" s="31" t="s">
        <v>130</v>
      </c>
      <c r="C45" s="32" t="s">
        <v>155</v>
      </c>
      <c r="D45" s="32" t="s">
        <v>156</v>
      </c>
      <c r="E45" s="32" t="s">
        <v>173</v>
      </c>
      <c r="F45" s="32" t="s">
        <v>139</v>
      </c>
      <c r="G45" s="32" t="s">
        <v>174</v>
      </c>
      <c r="H45" s="32" t="s">
        <v>175</v>
      </c>
      <c r="I45" s="32" t="s">
        <v>176</v>
      </c>
      <c r="J45" s="32" t="s">
        <v>177</v>
      </c>
      <c r="K45" s="32" t="s">
        <v>178</v>
      </c>
    </row>
    <row r="46" spans="1:11" ht="15" customHeight="1" x14ac:dyDescent="0.25">
      <c r="A46" s="33" t="s">
        <v>140</v>
      </c>
      <c r="B46" s="33"/>
      <c r="C46" s="33"/>
      <c r="D46" s="33"/>
      <c r="E46" s="33"/>
      <c r="F46" s="33"/>
      <c r="G46" s="33"/>
      <c r="H46" s="33"/>
      <c r="I46" s="33"/>
      <c r="J46" s="33"/>
      <c r="K46" s="33"/>
    </row>
    <row r="47" spans="1:11" ht="15" customHeight="1" x14ac:dyDescent="0.25">
      <c r="A47" s="34">
        <v>1</v>
      </c>
      <c r="B47" s="34" t="s">
        <v>2</v>
      </c>
      <c r="C47" s="35">
        <v>2384733</v>
      </c>
      <c r="D47" s="35">
        <v>547896815</v>
      </c>
      <c r="E47" s="35">
        <v>471836346.87</v>
      </c>
      <c r="F47" s="35">
        <v>3569302120.1599998</v>
      </c>
      <c r="G47" s="35">
        <v>2878352034.8699999</v>
      </c>
      <c r="H47" s="35">
        <v>472789935.75</v>
      </c>
      <c r="I47" s="35">
        <v>-16439782.75</v>
      </c>
      <c r="J47" s="35">
        <v>0</v>
      </c>
      <c r="K47" s="35">
        <v>673556713.65999997</v>
      </c>
    </row>
    <row r="48" spans="1:11" ht="15" customHeight="1" x14ac:dyDescent="0.25">
      <c r="A48" s="34">
        <v>2</v>
      </c>
      <c r="B48" s="34" t="s">
        <v>141</v>
      </c>
      <c r="C48" s="35">
        <v>19847</v>
      </c>
      <c r="D48" s="35">
        <v>12238984</v>
      </c>
      <c r="E48" s="35">
        <v>3230329.29</v>
      </c>
      <c r="F48" s="35">
        <v>79798834.329999998</v>
      </c>
      <c r="G48" s="35">
        <v>58956568.950000003</v>
      </c>
      <c r="H48" s="35">
        <v>15631265.26</v>
      </c>
      <c r="I48" s="35">
        <v>-114228.36</v>
      </c>
      <c r="J48" s="35">
        <v>0</v>
      </c>
      <c r="K48" s="35">
        <v>8327101.0499999998</v>
      </c>
    </row>
    <row r="49" spans="1:11" ht="15" customHeight="1" x14ac:dyDescent="0.25">
      <c r="A49" s="34">
        <v>3</v>
      </c>
      <c r="B49" s="34" t="s">
        <v>142</v>
      </c>
      <c r="C49" s="35">
        <v>260627</v>
      </c>
      <c r="D49" s="35">
        <v>308942121</v>
      </c>
      <c r="E49" s="35">
        <v>-156257486.13999999</v>
      </c>
      <c r="F49" s="35">
        <v>2495638744.9699998</v>
      </c>
      <c r="G49" s="35">
        <v>2019579574.79</v>
      </c>
      <c r="H49" s="35">
        <v>371874649.10000002</v>
      </c>
      <c r="I49" s="35">
        <v>-2477774.7599999998</v>
      </c>
      <c r="J49" s="35">
        <v>0</v>
      </c>
      <c r="K49" s="35">
        <v>-54550739.82</v>
      </c>
    </row>
    <row r="50" spans="1:11" ht="15" customHeight="1" x14ac:dyDescent="0.25">
      <c r="A50" s="34"/>
      <c r="B50" s="34" t="s">
        <v>143</v>
      </c>
      <c r="C50" s="35">
        <v>6576</v>
      </c>
      <c r="D50" s="35">
        <v>8930434</v>
      </c>
      <c r="E50" s="35">
        <v>23443054.57</v>
      </c>
      <c r="F50" s="35">
        <v>98314728.010000005</v>
      </c>
      <c r="G50" s="35">
        <v>91619956.280000001</v>
      </c>
      <c r="H50" s="35">
        <v>4758739.3</v>
      </c>
      <c r="I50" s="35">
        <v>0</v>
      </c>
      <c r="J50" s="35">
        <v>0</v>
      </c>
      <c r="K50" s="35">
        <v>25379087</v>
      </c>
    </row>
    <row r="51" spans="1:11" ht="15" customHeight="1" x14ac:dyDescent="0.25">
      <c r="A51" s="34"/>
      <c r="B51" s="34" t="s">
        <v>144</v>
      </c>
      <c r="C51" s="35">
        <v>267203</v>
      </c>
      <c r="D51" s="35">
        <v>317872555</v>
      </c>
      <c r="E51" s="35">
        <v>-132814431.56999999</v>
      </c>
      <c r="F51" s="35">
        <v>2593953472.98</v>
      </c>
      <c r="G51" s="35">
        <v>2111199531.0699999</v>
      </c>
      <c r="H51" s="35">
        <v>376633388.39999998</v>
      </c>
      <c r="I51" s="35">
        <v>-2477774.7599999998</v>
      </c>
      <c r="J51" s="35">
        <v>0</v>
      </c>
      <c r="K51" s="35">
        <v>-29171652.82</v>
      </c>
    </row>
    <row r="52" spans="1:11" ht="15" customHeight="1" x14ac:dyDescent="0.25">
      <c r="A52" s="34">
        <v>4</v>
      </c>
      <c r="B52" s="34" t="s">
        <v>145</v>
      </c>
      <c r="C52" s="35">
        <v>13492</v>
      </c>
      <c r="D52" s="35">
        <v>48527153</v>
      </c>
      <c r="E52" s="35">
        <v>979163001.65999997</v>
      </c>
      <c r="F52" s="35">
        <v>272799957.49000001</v>
      </c>
      <c r="G52" s="35">
        <v>78442734.340000004</v>
      </c>
      <c r="H52" s="35">
        <v>152753672.34</v>
      </c>
      <c r="I52" s="35">
        <v>200807.96</v>
      </c>
      <c r="J52" s="35">
        <v>0</v>
      </c>
      <c r="K52" s="35">
        <v>1020967360.4299999</v>
      </c>
    </row>
    <row r="53" spans="1:11" ht="15" customHeight="1" x14ac:dyDescent="0.25">
      <c r="A53" s="34">
        <v>5</v>
      </c>
      <c r="B53" s="34" t="s">
        <v>5</v>
      </c>
      <c r="C53" s="35">
        <v>99192</v>
      </c>
      <c r="D53" s="35">
        <v>168792969</v>
      </c>
      <c r="E53" s="35">
        <v>-22582241.07</v>
      </c>
      <c r="F53" s="35">
        <v>234363026.77000001</v>
      </c>
      <c r="G53" s="35">
        <v>168649386.06</v>
      </c>
      <c r="H53" s="35">
        <v>27290415.550000001</v>
      </c>
      <c r="I53" s="35">
        <v>-796393.56</v>
      </c>
      <c r="J53" s="35">
        <v>0</v>
      </c>
      <c r="K53" s="35">
        <v>15044590.529999999</v>
      </c>
    </row>
    <row r="54" spans="1:11" ht="15" customHeight="1" x14ac:dyDescent="0.25">
      <c r="A54" s="34">
        <v>6</v>
      </c>
      <c r="B54" s="34" t="s">
        <v>146</v>
      </c>
      <c r="C54" s="35">
        <v>6456</v>
      </c>
      <c r="D54" s="35">
        <v>15223858</v>
      </c>
      <c r="E54" s="35">
        <v>113139182.73999999</v>
      </c>
      <c r="F54" s="35">
        <v>98874088.390000001</v>
      </c>
      <c r="G54" s="35">
        <v>71694102.209999993</v>
      </c>
      <c r="H54" s="35">
        <v>16941795.59</v>
      </c>
      <c r="I54" s="35">
        <v>-146960.23000000001</v>
      </c>
      <c r="J54" s="35">
        <v>0</v>
      </c>
      <c r="K54" s="35">
        <v>123230413.09999999</v>
      </c>
    </row>
    <row r="55" spans="1:11" ht="15" customHeight="1" x14ac:dyDescent="0.25">
      <c r="A55" s="34">
        <v>7</v>
      </c>
      <c r="B55" s="34" t="s">
        <v>147</v>
      </c>
      <c r="C55" s="35">
        <v>135936</v>
      </c>
      <c r="D55" s="35">
        <v>254352</v>
      </c>
      <c r="E55" s="35">
        <v>282473331.19</v>
      </c>
      <c r="F55" s="35">
        <v>4556484.72</v>
      </c>
      <c r="G55" s="35">
        <v>9439530.5</v>
      </c>
      <c r="H55" s="35">
        <v>2520494.13</v>
      </c>
      <c r="I55" s="35">
        <v>19784981.780000001</v>
      </c>
      <c r="J55" s="35">
        <v>0</v>
      </c>
      <c r="K55" s="35">
        <v>294854773.06</v>
      </c>
    </row>
    <row r="56" spans="1:11" ht="15" customHeight="1" x14ac:dyDescent="0.25">
      <c r="A56" s="34">
        <v>8</v>
      </c>
      <c r="B56" s="34" t="s">
        <v>148</v>
      </c>
      <c r="C56" s="35">
        <v>4324</v>
      </c>
      <c r="D56" s="35">
        <v>0</v>
      </c>
      <c r="E56" s="35">
        <v>1332331.42</v>
      </c>
      <c r="F56" s="35">
        <v>1389112.42</v>
      </c>
      <c r="G56" s="35">
        <v>567985.43999999994</v>
      </c>
      <c r="H56" s="35">
        <v>568145.06000000006</v>
      </c>
      <c r="I56" s="35">
        <v>-10650.08</v>
      </c>
      <c r="J56" s="35">
        <v>0</v>
      </c>
      <c r="K56" s="35">
        <v>1574663.26</v>
      </c>
    </row>
    <row r="57" spans="1:11" ht="15" customHeight="1" x14ac:dyDescent="0.25">
      <c r="A57" s="34">
        <v>9</v>
      </c>
      <c r="B57" s="34" t="s">
        <v>149</v>
      </c>
      <c r="C57" s="35">
        <v>2216</v>
      </c>
      <c r="D57" s="35">
        <v>740096</v>
      </c>
      <c r="E57" s="35">
        <v>53130210.409999996</v>
      </c>
      <c r="F57" s="35">
        <v>4073417.13</v>
      </c>
      <c r="G57" s="35">
        <v>3613576.49</v>
      </c>
      <c r="H57" s="35">
        <v>-29470.62</v>
      </c>
      <c r="I57" s="35">
        <v>0</v>
      </c>
      <c r="J57" s="35">
        <v>0</v>
      </c>
      <c r="K57" s="35">
        <v>53619521.670000002</v>
      </c>
    </row>
    <row r="58" spans="1:11" ht="15" customHeight="1" x14ac:dyDescent="0.25">
      <c r="A58" s="34">
        <v>10</v>
      </c>
      <c r="B58" s="34" t="s">
        <v>179</v>
      </c>
      <c r="C58" s="35">
        <v>0</v>
      </c>
      <c r="D58" s="35">
        <v>0</v>
      </c>
      <c r="E58" s="35">
        <v>-747024.08</v>
      </c>
      <c r="F58" s="35">
        <v>0</v>
      </c>
      <c r="G58" s="35">
        <v>806193.65</v>
      </c>
      <c r="H58" s="35">
        <v>-910101.61</v>
      </c>
      <c r="I58" s="35">
        <v>0</v>
      </c>
      <c r="J58" s="35">
        <v>0</v>
      </c>
      <c r="K58" s="35">
        <v>-643116.12</v>
      </c>
    </row>
    <row r="59" spans="1:11" ht="15" customHeight="1" x14ac:dyDescent="0.25">
      <c r="A59" s="34">
        <v>11</v>
      </c>
      <c r="B59" s="34" t="s">
        <v>180</v>
      </c>
      <c r="C59" s="35">
        <v>2784347</v>
      </c>
      <c r="D59" s="35">
        <v>1101621900</v>
      </c>
      <c r="E59" s="35">
        <v>1387782109.27</v>
      </c>
      <c r="F59" s="35">
        <v>6750776772.1099997</v>
      </c>
      <c r="G59" s="35">
        <v>5276480594.8699999</v>
      </c>
      <c r="H59" s="35">
        <v>1056371631.98</v>
      </c>
      <c r="I59" s="35">
        <v>-19774331.699999999</v>
      </c>
      <c r="J59" s="35">
        <v>0</v>
      </c>
      <c r="K59" s="35">
        <v>1785932322.8299999</v>
      </c>
    </row>
    <row r="60" spans="1:11" ht="15" customHeight="1" x14ac:dyDescent="0.25">
      <c r="A60" s="34">
        <v>12</v>
      </c>
      <c r="B60" s="34" t="s">
        <v>164</v>
      </c>
      <c r="C60" s="35">
        <v>140260</v>
      </c>
      <c r="D60" s="35">
        <v>254352</v>
      </c>
      <c r="E60" s="35">
        <v>283805662.61000001</v>
      </c>
      <c r="F60" s="35">
        <v>5945597.1399999997</v>
      </c>
      <c r="G60" s="35">
        <v>10007515.939999999</v>
      </c>
      <c r="H60" s="35">
        <v>3088639.19</v>
      </c>
      <c r="I60" s="35">
        <v>19774331.699999999</v>
      </c>
      <c r="J60" s="35">
        <v>0</v>
      </c>
      <c r="K60" s="35">
        <v>296429436.31999999</v>
      </c>
    </row>
    <row r="61" spans="1:11" ht="15" customHeight="1" x14ac:dyDescent="0.25">
      <c r="A61" s="34">
        <v>13</v>
      </c>
      <c r="B61" s="34" t="s">
        <v>152</v>
      </c>
      <c r="C61" s="35">
        <v>8792</v>
      </c>
      <c r="D61" s="35">
        <v>9670530</v>
      </c>
      <c r="E61" s="35">
        <v>76573264.980000004</v>
      </c>
      <c r="F61" s="35">
        <v>102388145.14</v>
      </c>
      <c r="G61" s="35">
        <v>95233532.769999996</v>
      </c>
      <c r="H61" s="35">
        <v>4729268.68</v>
      </c>
      <c r="I61" s="35">
        <v>0</v>
      </c>
      <c r="J61" s="35">
        <v>0</v>
      </c>
      <c r="K61" s="35">
        <v>78998608.670000002</v>
      </c>
    </row>
    <row r="62" spans="1:11" ht="15" customHeight="1" x14ac:dyDescent="0.25">
      <c r="A62" s="34">
        <v>14</v>
      </c>
      <c r="B62" s="34" t="s">
        <v>153</v>
      </c>
      <c r="C62" s="35">
        <v>2933399</v>
      </c>
      <c r="D62" s="35">
        <v>1111546782</v>
      </c>
      <c r="E62" s="35">
        <v>1748161036.8599999</v>
      </c>
      <c r="F62" s="35">
        <v>6859110514.3900003</v>
      </c>
      <c r="G62" s="35">
        <v>5381721643.5799999</v>
      </c>
      <c r="H62" s="35">
        <v>1064189539.85</v>
      </c>
      <c r="I62" s="35">
        <v>0</v>
      </c>
      <c r="J62" s="35">
        <v>0</v>
      </c>
      <c r="K62" s="35">
        <v>2161360367.8200002</v>
      </c>
    </row>
    <row r="63" spans="1:11" ht="15" customHeight="1" x14ac:dyDescent="0.25">
      <c r="A63" s="33" t="s">
        <v>140</v>
      </c>
      <c r="B63" s="33"/>
      <c r="C63" s="33"/>
      <c r="D63" s="33"/>
      <c r="E63" s="33"/>
      <c r="F63" s="33"/>
      <c r="G63" s="33"/>
      <c r="H63" s="33"/>
      <c r="I63" s="33"/>
      <c r="J63" s="33"/>
      <c r="K63" s="33"/>
    </row>
    <row r="64" spans="1:11" ht="15" customHeight="1" x14ac:dyDescent="0.25">
      <c r="A64" s="33" t="s">
        <v>181</v>
      </c>
      <c r="B64" s="33"/>
      <c r="C64" s="33"/>
      <c r="D64" s="33"/>
      <c r="E64" s="33"/>
      <c r="F64" s="33"/>
      <c r="G64" s="33"/>
      <c r="H64" s="33"/>
      <c r="I64" s="33"/>
      <c r="J64" s="33"/>
      <c r="K64" s="33"/>
    </row>
    <row r="65" spans="1:11" ht="15" customHeight="1" x14ac:dyDescent="0.25">
      <c r="A65" s="33" t="s">
        <v>140</v>
      </c>
      <c r="B65" s="33"/>
      <c r="C65" s="33"/>
      <c r="D65" s="33"/>
      <c r="E65" s="33"/>
      <c r="F65" s="33"/>
      <c r="G65" s="33"/>
      <c r="H65" s="33"/>
      <c r="I65" s="33"/>
      <c r="J65" s="33"/>
      <c r="K65" s="33"/>
    </row>
    <row r="66" spans="1:11" ht="15" customHeight="1" x14ac:dyDescent="0.3">
      <c r="A66" s="31" t="s">
        <v>129</v>
      </c>
      <c r="B66" s="31" t="s">
        <v>130</v>
      </c>
      <c r="C66" s="32" t="s">
        <v>179</v>
      </c>
      <c r="D66" s="32" t="s">
        <v>182</v>
      </c>
      <c r="E66" s="32" t="s">
        <v>183</v>
      </c>
      <c r="F66" s="32" t="s">
        <v>184</v>
      </c>
      <c r="G66" s="32" t="s">
        <v>185</v>
      </c>
      <c r="H66" s="32" t="s">
        <v>186</v>
      </c>
      <c r="I66" s="32" t="s">
        <v>187</v>
      </c>
      <c r="J66" s="32" t="s">
        <v>188</v>
      </c>
      <c r="K66" s="35"/>
    </row>
    <row r="67" spans="1:11" ht="15" customHeight="1" x14ac:dyDescent="0.3">
      <c r="A67" s="34"/>
      <c r="B67" s="34"/>
      <c r="C67" s="32" t="s">
        <v>189</v>
      </c>
      <c r="D67" s="32" t="s">
        <v>190</v>
      </c>
      <c r="E67" s="32" t="s">
        <v>191</v>
      </c>
      <c r="F67" s="32" t="s">
        <v>192</v>
      </c>
      <c r="G67" s="32" t="s">
        <v>193</v>
      </c>
      <c r="H67" s="32" t="s">
        <v>163</v>
      </c>
      <c r="I67" s="32" t="s">
        <v>194</v>
      </c>
      <c r="J67" s="32" t="s">
        <v>195</v>
      </c>
      <c r="K67" s="32" t="s">
        <v>144</v>
      </c>
    </row>
    <row r="68" spans="1:11" ht="15" customHeight="1" x14ac:dyDescent="0.25">
      <c r="A68" s="33" t="s">
        <v>140</v>
      </c>
      <c r="B68" s="33"/>
      <c r="C68" s="33"/>
      <c r="D68" s="33"/>
      <c r="E68" s="33"/>
      <c r="F68" s="33"/>
      <c r="G68" s="33"/>
      <c r="H68" s="33"/>
      <c r="I68" s="33"/>
      <c r="J68" s="33"/>
      <c r="K68" s="33"/>
    </row>
    <row r="69" spans="1:11" ht="15" customHeight="1" x14ac:dyDescent="0.25">
      <c r="A69" s="34">
        <v>1</v>
      </c>
      <c r="B69" s="34" t="s">
        <v>2</v>
      </c>
      <c r="C69" s="35">
        <v>676896.21</v>
      </c>
      <c r="D69" s="35">
        <v>396889374.73000002</v>
      </c>
      <c r="E69" s="35">
        <v>52620828.579999998</v>
      </c>
      <c r="F69" s="35">
        <v>-11156.78</v>
      </c>
      <c r="G69" s="35">
        <v>22613993.010000002</v>
      </c>
      <c r="H69" s="35">
        <v>0</v>
      </c>
      <c r="I69" s="35">
        <v>0</v>
      </c>
      <c r="J69" s="35">
        <v>0</v>
      </c>
      <c r="K69" s="35">
        <v>472789935.75</v>
      </c>
    </row>
    <row r="70" spans="1:11" ht="15" customHeight="1" x14ac:dyDescent="0.25">
      <c r="A70" s="34">
        <v>2</v>
      </c>
      <c r="B70" s="34" t="s">
        <v>141</v>
      </c>
      <c r="C70" s="35">
        <v>510</v>
      </c>
      <c r="D70" s="35">
        <v>3998473.44</v>
      </c>
      <c r="E70" s="35">
        <v>2756635.8</v>
      </c>
      <c r="F70" s="35">
        <v>0</v>
      </c>
      <c r="G70" s="35">
        <v>1144315.07</v>
      </c>
      <c r="H70" s="35">
        <v>7701400.0800000001</v>
      </c>
      <c r="I70" s="35">
        <v>0</v>
      </c>
      <c r="J70" s="35">
        <v>29930.87</v>
      </c>
      <c r="K70" s="35">
        <v>15631265.26</v>
      </c>
    </row>
    <row r="71" spans="1:11" ht="15" customHeight="1" x14ac:dyDescent="0.25">
      <c r="A71" s="34">
        <v>3</v>
      </c>
      <c r="B71" s="34" t="s">
        <v>142</v>
      </c>
      <c r="C71" s="35">
        <v>213935.94</v>
      </c>
      <c r="D71" s="35">
        <v>169089710.22999999</v>
      </c>
      <c r="E71" s="35">
        <v>70601060.400000006</v>
      </c>
      <c r="F71" s="35">
        <v>120635842.39</v>
      </c>
      <c r="G71" s="35">
        <v>11334100.140000001</v>
      </c>
      <c r="H71" s="35">
        <v>0</v>
      </c>
      <c r="I71" s="35">
        <v>0</v>
      </c>
      <c r="J71" s="35">
        <v>0</v>
      </c>
      <c r="K71" s="35">
        <v>371874649.10000002</v>
      </c>
    </row>
    <row r="72" spans="1:11" ht="15" customHeight="1" x14ac:dyDescent="0.25">
      <c r="A72" s="34"/>
      <c r="B72" s="34" t="s">
        <v>143</v>
      </c>
      <c r="C72" s="35"/>
      <c r="D72" s="35">
        <v>1889298.78</v>
      </c>
      <c r="E72" s="35">
        <v>2864053.84</v>
      </c>
      <c r="F72" s="35">
        <v>5386.68</v>
      </c>
      <c r="G72" s="35"/>
      <c r="H72" s="35"/>
      <c r="I72" s="35"/>
      <c r="J72" s="35"/>
      <c r="K72" s="35">
        <v>4758739.3</v>
      </c>
    </row>
    <row r="73" spans="1:11" ht="15" customHeight="1" x14ac:dyDescent="0.25">
      <c r="A73" s="34"/>
      <c r="B73" s="34" t="s">
        <v>144</v>
      </c>
      <c r="C73" s="35">
        <v>213935.94</v>
      </c>
      <c r="D73" s="35">
        <v>170979009.00999999</v>
      </c>
      <c r="E73" s="35">
        <v>73465114.239999995</v>
      </c>
      <c r="F73" s="35">
        <v>120641229.06999999</v>
      </c>
      <c r="G73" s="35">
        <v>11334100.140000001</v>
      </c>
      <c r="H73" s="35">
        <v>0</v>
      </c>
      <c r="I73" s="35">
        <v>0</v>
      </c>
      <c r="J73" s="35">
        <v>0</v>
      </c>
      <c r="K73" s="35">
        <v>376633388.39999998</v>
      </c>
    </row>
    <row r="74" spans="1:11" ht="15" customHeight="1" x14ac:dyDescent="0.25">
      <c r="A74" s="34">
        <v>4</v>
      </c>
      <c r="B74" s="34" t="s">
        <v>145</v>
      </c>
      <c r="C74" s="35">
        <v>0</v>
      </c>
      <c r="D74" s="35">
        <v>11034658.880000001</v>
      </c>
      <c r="E74" s="35">
        <v>4158318.73</v>
      </c>
      <c r="F74" s="35">
        <v>4259002.55</v>
      </c>
      <c r="G74" s="35">
        <v>2660400.7999999998</v>
      </c>
      <c r="H74" s="35">
        <v>130641291.38</v>
      </c>
      <c r="I74" s="35">
        <v>0</v>
      </c>
      <c r="J74" s="35">
        <v>0</v>
      </c>
      <c r="K74" s="35">
        <v>152753672.34</v>
      </c>
    </row>
    <row r="75" spans="1:11" ht="15" customHeight="1" x14ac:dyDescent="0.25">
      <c r="A75" s="34">
        <v>5</v>
      </c>
      <c r="B75" s="34" t="s">
        <v>5</v>
      </c>
      <c r="C75" s="35">
        <v>3944</v>
      </c>
      <c r="D75" s="35">
        <v>7038904.7400000002</v>
      </c>
      <c r="E75" s="35">
        <v>16782524.280000001</v>
      </c>
      <c r="F75" s="35">
        <v>0</v>
      </c>
      <c r="G75" s="35">
        <v>3465042.53</v>
      </c>
      <c r="H75" s="35">
        <v>0</v>
      </c>
      <c r="I75" s="35">
        <v>0</v>
      </c>
      <c r="J75" s="35">
        <v>0</v>
      </c>
      <c r="K75" s="35">
        <v>27290415.550000001</v>
      </c>
    </row>
    <row r="76" spans="1:11" ht="15" customHeight="1" x14ac:dyDescent="0.25">
      <c r="A76" s="34">
        <v>6</v>
      </c>
      <c r="B76" s="34" t="s">
        <v>146</v>
      </c>
      <c r="C76" s="35">
        <v>14815.46</v>
      </c>
      <c r="D76" s="35">
        <v>14875892.949999999</v>
      </c>
      <c r="E76" s="35">
        <v>1945850.05</v>
      </c>
      <c r="F76" s="35">
        <v>-36525.760000000002</v>
      </c>
      <c r="G76" s="35">
        <v>141762.89000000001</v>
      </c>
      <c r="H76" s="35">
        <v>0</v>
      </c>
      <c r="I76" s="35">
        <v>0</v>
      </c>
      <c r="J76" s="35">
        <v>0</v>
      </c>
      <c r="K76" s="35">
        <v>16941795.59</v>
      </c>
    </row>
    <row r="77" spans="1:11" ht="15" customHeight="1" x14ac:dyDescent="0.25">
      <c r="A77" s="34">
        <v>7</v>
      </c>
      <c r="B77" s="34" t="s">
        <v>147</v>
      </c>
      <c r="C77" s="35">
        <v>0</v>
      </c>
      <c r="D77" s="35">
        <v>1409218.22</v>
      </c>
      <c r="E77" s="35">
        <v>1097712.6200000001</v>
      </c>
      <c r="F77" s="35">
        <v>1805.77</v>
      </c>
      <c r="G77" s="35">
        <v>0</v>
      </c>
      <c r="H77" s="35">
        <v>658.4</v>
      </c>
      <c r="I77" s="35">
        <v>0</v>
      </c>
      <c r="J77" s="35">
        <v>11099.12</v>
      </c>
      <c r="K77" s="35">
        <v>2520494.13</v>
      </c>
    </row>
    <row r="78" spans="1:11" ht="15" customHeight="1" x14ac:dyDescent="0.25">
      <c r="A78" s="34">
        <v>8</v>
      </c>
      <c r="B78" s="34" t="s">
        <v>148</v>
      </c>
      <c r="C78" s="35">
        <v>0</v>
      </c>
      <c r="D78" s="35">
        <v>1704.02</v>
      </c>
      <c r="E78" s="35">
        <v>549022.04</v>
      </c>
      <c r="F78" s="35">
        <v>17419</v>
      </c>
      <c r="G78" s="35">
        <v>0</v>
      </c>
      <c r="H78" s="35">
        <v>0</v>
      </c>
      <c r="I78" s="35">
        <v>0</v>
      </c>
      <c r="J78" s="35">
        <v>0</v>
      </c>
      <c r="K78" s="35">
        <v>568145.06000000006</v>
      </c>
    </row>
    <row r="79" spans="1:11" ht="15" customHeight="1" x14ac:dyDescent="0.25">
      <c r="A79" s="34">
        <v>9</v>
      </c>
      <c r="B79" s="34" t="s">
        <v>149</v>
      </c>
      <c r="C79" s="35"/>
      <c r="D79" s="35">
        <v>4579.8</v>
      </c>
      <c r="E79" s="35">
        <v>-34050.42</v>
      </c>
      <c r="F79" s="35">
        <v>0</v>
      </c>
      <c r="G79" s="35"/>
      <c r="H79" s="35"/>
      <c r="I79" s="35"/>
      <c r="J79" s="35"/>
      <c r="K79" s="35">
        <v>-29470.62</v>
      </c>
    </row>
    <row r="80" spans="1:11" ht="15" customHeight="1" x14ac:dyDescent="0.25">
      <c r="A80" s="34">
        <v>10</v>
      </c>
      <c r="B80" s="34" t="s">
        <v>179</v>
      </c>
      <c r="C80" s="35">
        <v>-910101.61</v>
      </c>
      <c r="D80" s="35">
        <v>0</v>
      </c>
      <c r="E80" s="35">
        <v>0</v>
      </c>
      <c r="F80" s="35">
        <v>0</v>
      </c>
      <c r="G80" s="35">
        <v>0</v>
      </c>
      <c r="H80" s="35">
        <v>0</v>
      </c>
      <c r="I80" s="35">
        <v>0</v>
      </c>
      <c r="J80" s="35">
        <v>0</v>
      </c>
      <c r="K80" s="35">
        <v>-910101.61</v>
      </c>
    </row>
    <row r="81" spans="1:13" ht="15" customHeight="1" x14ac:dyDescent="0.25">
      <c r="A81" s="34">
        <v>11</v>
      </c>
      <c r="B81" s="34" t="s">
        <v>150</v>
      </c>
      <c r="C81" s="35">
        <v>0</v>
      </c>
      <c r="D81" s="35">
        <v>602927014.97000003</v>
      </c>
      <c r="E81" s="35">
        <v>148865217.84</v>
      </c>
      <c r="F81" s="35">
        <v>124847162.40000001</v>
      </c>
      <c r="G81" s="35">
        <v>41359614.439999998</v>
      </c>
      <c r="H81" s="35">
        <v>138342691.46000001</v>
      </c>
      <c r="I81" s="35">
        <v>0</v>
      </c>
      <c r="J81" s="35">
        <v>29930.87</v>
      </c>
      <c r="K81" s="35">
        <v>1056371631.98</v>
      </c>
    </row>
    <row r="82" spans="1:13" ht="15" customHeight="1" x14ac:dyDescent="0.25">
      <c r="A82" s="34">
        <v>12</v>
      </c>
      <c r="B82" s="34" t="s">
        <v>164</v>
      </c>
      <c r="C82" s="35">
        <v>0</v>
      </c>
      <c r="D82" s="35">
        <v>1410922.24</v>
      </c>
      <c r="E82" s="35">
        <v>1646734.66</v>
      </c>
      <c r="F82" s="35">
        <v>19224.77</v>
      </c>
      <c r="G82" s="35">
        <v>0</v>
      </c>
      <c r="H82" s="35">
        <v>658.4</v>
      </c>
      <c r="I82" s="35">
        <v>0</v>
      </c>
      <c r="J82" s="35">
        <v>11099.12</v>
      </c>
      <c r="K82" s="35">
        <v>3088639.19</v>
      </c>
    </row>
    <row r="83" spans="1:13" ht="15" customHeight="1" x14ac:dyDescent="0.25">
      <c r="A83" s="34">
        <v>13</v>
      </c>
      <c r="B83" s="34" t="s">
        <v>152</v>
      </c>
      <c r="C83" s="35">
        <v>0</v>
      </c>
      <c r="D83" s="35">
        <v>1893878.58</v>
      </c>
      <c r="E83" s="35">
        <v>2830003.42</v>
      </c>
      <c r="F83" s="35">
        <v>5386.68</v>
      </c>
      <c r="G83" s="35">
        <v>0</v>
      </c>
      <c r="H83" s="35">
        <v>0</v>
      </c>
      <c r="I83" s="35">
        <v>0</v>
      </c>
      <c r="J83" s="35">
        <v>0</v>
      </c>
      <c r="K83" s="35">
        <v>4729268.68</v>
      </c>
    </row>
    <row r="84" spans="1:13" ht="15" customHeight="1" x14ac:dyDescent="0.25">
      <c r="A84" s="34">
        <v>14</v>
      </c>
      <c r="B84" s="34" t="s">
        <v>153</v>
      </c>
      <c r="C84" s="35">
        <v>0</v>
      </c>
      <c r="D84" s="35">
        <v>606231815.78999996</v>
      </c>
      <c r="E84" s="35">
        <v>153341955.91999999</v>
      </c>
      <c r="F84" s="35">
        <v>124871773.84999999</v>
      </c>
      <c r="G84" s="35">
        <v>41359614.439999998</v>
      </c>
      <c r="H84" s="35">
        <v>138343349.86000001</v>
      </c>
      <c r="I84" s="35">
        <v>0</v>
      </c>
      <c r="J84" s="35">
        <v>41029.99</v>
      </c>
      <c r="K84" s="35">
        <v>1064189539.85</v>
      </c>
    </row>
    <row r="85" spans="1:13" ht="15" customHeight="1" x14ac:dyDescent="0.25">
      <c r="A85" s="33" t="s">
        <v>140</v>
      </c>
      <c r="B85" s="33"/>
      <c r="C85" s="33"/>
      <c r="D85" s="33"/>
      <c r="E85" s="33"/>
      <c r="F85" s="33"/>
      <c r="G85" s="33"/>
      <c r="H85" s="33"/>
      <c r="I85" s="33"/>
      <c r="J85" s="33"/>
      <c r="K85" s="33"/>
    </row>
    <row r="93" spans="1:13" ht="15" customHeight="1" x14ac:dyDescent="0.25">
      <c r="B93" s="38" t="s">
        <v>196</v>
      </c>
      <c r="C93" s="38"/>
      <c r="D93" s="38"/>
      <c r="E93" s="38"/>
      <c r="F93" s="38"/>
    </row>
    <row r="94" spans="1:13" ht="15" customHeight="1" x14ac:dyDescent="0.25">
      <c r="B94" s="39"/>
      <c r="C94" s="39"/>
      <c r="D94" s="39"/>
      <c r="E94" s="39"/>
      <c r="F94" s="39"/>
    </row>
    <row r="95" spans="1:13" ht="15" customHeight="1" x14ac:dyDescent="0.25">
      <c r="B95" s="38" t="s">
        <v>197</v>
      </c>
      <c r="C95" s="38"/>
      <c r="D95" s="38"/>
      <c r="E95" s="38"/>
      <c r="F95" s="38"/>
      <c r="G95" s="38"/>
      <c r="H95" s="38"/>
      <c r="I95" s="38"/>
      <c r="J95" s="38"/>
      <c r="K95" s="38"/>
      <c r="L95" s="38"/>
      <c r="M95" s="38"/>
    </row>
    <row r="96" spans="1:13" ht="15" customHeight="1" x14ac:dyDescent="0.25">
      <c r="B96" s="40" t="s">
        <v>198</v>
      </c>
      <c r="C96" s="41" t="s">
        <v>199</v>
      </c>
      <c r="D96" s="39" t="s">
        <v>200</v>
      </c>
      <c r="E96" s="39" t="s">
        <v>201</v>
      </c>
      <c r="F96" s="39" t="s">
        <v>202</v>
      </c>
      <c r="G96" s="39" t="s">
        <v>203</v>
      </c>
      <c r="H96" s="39" t="s">
        <v>204</v>
      </c>
      <c r="I96" s="39" t="s">
        <v>205</v>
      </c>
      <c r="J96" s="39" t="s">
        <v>206</v>
      </c>
      <c r="K96" s="39" t="s">
        <v>207</v>
      </c>
      <c r="L96" s="39" t="s">
        <v>208</v>
      </c>
      <c r="M96" s="39"/>
    </row>
    <row r="97" spans="2:13" ht="15" customHeight="1" x14ac:dyDescent="0.25">
      <c r="B97" s="38" t="s">
        <v>197</v>
      </c>
      <c r="C97" s="38"/>
      <c r="D97" s="38"/>
      <c r="E97" s="38"/>
      <c r="F97" s="38"/>
      <c r="G97" s="38"/>
      <c r="H97" s="38"/>
      <c r="I97" s="38"/>
      <c r="J97" s="38"/>
      <c r="K97" s="38"/>
      <c r="L97" s="38"/>
      <c r="M97" s="38"/>
    </row>
    <row r="98" spans="2:13" ht="15" customHeight="1" x14ac:dyDescent="0.25">
      <c r="B98" s="40">
        <v>1</v>
      </c>
      <c r="C98" s="41" t="s">
        <v>209</v>
      </c>
      <c r="D98" s="39">
        <v>692603720.38999999</v>
      </c>
      <c r="E98" s="39">
        <v>4495794941.0500002</v>
      </c>
      <c r="F98" s="39">
        <v>228089997.05000001</v>
      </c>
      <c r="G98" s="39">
        <v>1203211432.4200001</v>
      </c>
      <c r="H98" s="39">
        <v>0</v>
      </c>
      <c r="I98" s="39">
        <v>6730906.5899999999</v>
      </c>
      <c r="J98" s="39">
        <v>53726118.039999999</v>
      </c>
      <c r="K98" s="39">
        <v>-63618893.590000004</v>
      </c>
      <c r="L98" s="39">
        <v>-11142206.23</v>
      </c>
      <c r="M98" s="39"/>
    </row>
    <row r="99" spans="2:13" ht="15" customHeight="1" x14ac:dyDescent="0.25">
      <c r="B99" s="40">
        <v>2</v>
      </c>
      <c r="C99" s="41" t="s">
        <v>210</v>
      </c>
      <c r="D99" s="39">
        <v>46307680</v>
      </c>
      <c r="E99" s="39">
        <v>454218764.30000001</v>
      </c>
      <c r="F99" s="39">
        <v>0</v>
      </c>
      <c r="G99" s="39">
        <v>109229986.54000001</v>
      </c>
      <c r="H99" s="39">
        <v>0</v>
      </c>
      <c r="I99" s="39">
        <v>0</v>
      </c>
      <c r="J99" s="39">
        <v>0</v>
      </c>
      <c r="K99" s="39">
        <v>-7437025.4000000004</v>
      </c>
      <c r="L99" s="39">
        <v>-4542187.6399999997</v>
      </c>
      <c r="M99" s="39"/>
    </row>
    <row r="100" spans="2:13" ht="15" customHeight="1" x14ac:dyDescent="0.25">
      <c r="B100" s="40">
        <v>3</v>
      </c>
      <c r="C100" s="41" t="s">
        <v>211</v>
      </c>
      <c r="D100" s="39">
        <v>469560</v>
      </c>
      <c r="E100" s="39">
        <v>490835.9</v>
      </c>
      <c r="F100" s="39">
        <v>0</v>
      </c>
      <c r="G100" s="39">
        <v>0</v>
      </c>
      <c r="H100" s="39">
        <v>0</v>
      </c>
      <c r="I100" s="39">
        <v>37123.879999999997</v>
      </c>
      <c r="J100" s="39">
        <v>0</v>
      </c>
      <c r="K100" s="39">
        <v>-2045.39</v>
      </c>
      <c r="L100" s="39">
        <v>0</v>
      </c>
      <c r="M100" s="39"/>
    </row>
    <row r="101" spans="2:13" ht="15" customHeight="1" x14ac:dyDescent="0.25">
      <c r="B101" s="40">
        <v>4</v>
      </c>
      <c r="C101" s="41" t="s">
        <v>212</v>
      </c>
      <c r="D101" s="39">
        <v>0</v>
      </c>
      <c r="E101" s="39">
        <v>0</v>
      </c>
      <c r="F101" s="39">
        <v>0</v>
      </c>
      <c r="G101" s="39">
        <v>0</v>
      </c>
      <c r="H101" s="39">
        <v>0</v>
      </c>
      <c r="I101" s="39">
        <v>0</v>
      </c>
      <c r="J101" s="39">
        <v>0</v>
      </c>
      <c r="K101" s="39">
        <v>0</v>
      </c>
      <c r="L101" s="39">
        <v>0</v>
      </c>
      <c r="M101" s="39"/>
    </row>
    <row r="102" spans="2:13" ht="15" customHeight="1" x14ac:dyDescent="0.25">
      <c r="B102" s="40">
        <v>5</v>
      </c>
      <c r="C102" s="41" t="s">
        <v>213</v>
      </c>
      <c r="D102" s="39">
        <v>0</v>
      </c>
      <c r="E102" s="39">
        <v>0</v>
      </c>
      <c r="F102" s="39">
        <v>0</v>
      </c>
      <c r="G102" s="39">
        <v>0</v>
      </c>
      <c r="H102" s="39">
        <v>0</v>
      </c>
      <c r="I102" s="39">
        <v>0</v>
      </c>
      <c r="J102" s="39">
        <v>0</v>
      </c>
      <c r="K102" s="39">
        <v>0</v>
      </c>
      <c r="L102" s="39">
        <v>0</v>
      </c>
      <c r="M102" s="39"/>
    </row>
    <row r="103" spans="2:13" ht="15" customHeight="1" x14ac:dyDescent="0.25">
      <c r="B103" s="40">
        <v>6</v>
      </c>
      <c r="C103" s="41" t="s">
        <v>214</v>
      </c>
      <c r="D103" s="39">
        <v>0</v>
      </c>
      <c r="E103" s="39">
        <v>0</v>
      </c>
      <c r="F103" s="39">
        <v>0</v>
      </c>
      <c r="G103" s="39">
        <v>0</v>
      </c>
      <c r="H103" s="39">
        <v>0</v>
      </c>
      <c r="I103" s="39">
        <v>0</v>
      </c>
      <c r="J103" s="39">
        <v>0</v>
      </c>
      <c r="K103" s="39">
        <v>0</v>
      </c>
      <c r="L103" s="39">
        <v>0</v>
      </c>
      <c r="M103" s="39"/>
    </row>
    <row r="104" spans="2:13" ht="15" customHeight="1" x14ac:dyDescent="0.25">
      <c r="B104" s="40">
        <v>7</v>
      </c>
      <c r="C104" s="41" t="s">
        <v>215</v>
      </c>
      <c r="D104" s="39">
        <v>0</v>
      </c>
      <c r="E104" s="39">
        <v>0</v>
      </c>
      <c r="F104" s="39">
        <v>0</v>
      </c>
      <c r="G104" s="39">
        <v>0</v>
      </c>
      <c r="H104" s="39">
        <v>0</v>
      </c>
      <c r="I104" s="39">
        <v>0</v>
      </c>
      <c r="J104" s="39">
        <v>0</v>
      </c>
      <c r="K104" s="39">
        <v>0</v>
      </c>
      <c r="L104" s="39">
        <v>0</v>
      </c>
      <c r="M104" s="39"/>
    </row>
    <row r="105" spans="2:13" ht="15" customHeight="1" x14ac:dyDescent="0.25">
      <c r="B105" s="40">
        <v>8</v>
      </c>
      <c r="C105" s="41" t="s">
        <v>216</v>
      </c>
      <c r="D105" s="39">
        <v>0</v>
      </c>
      <c r="E105" s="39">
        <v>0</v>
      </c>
      <c r="F105" s="39">
        <v>0</v>
      </c>
      <c r="G105" s="39">
        <v>0</v>
      </c>
      <c r="H105" s="39">
        <v>0</v>
      </c>
      <c r="I105" s="39">
        <v>0</v>
      </c>
      <c r="J105" s="39">
        <v>186372.62</v>
      </c>
      <c r="K105" s="39">
        <v>0</v>
      </c>
      <c r="L105" s="39">
        <v>0</v>
      </c>
      <c r="M105" s="39"/>
    </row>
    <row r="106" spans="2:13" ht="15" customHeight="1" x14ac:dyDescent="0.25">
      <c r="B106" s="40">
        <v>9</v>
      </c>
      <c r="C106" s="41" t="s">
        <v>148</v>
      </c>
      <c r="D106" s="39">
        <v>9967895.7400000002</v>
      </c>
      <c r="E106" s="39">
        <v>0</v>
      </c>
      <c r="F106" s="39">
        <v>0</v>
      </c>
      <c r="G106" s="39">
        <v>0</v>
      </c>
      <c r="H106" s="39">
        <v>0</v>
      </c>
      <c r="I106" s="39">
        <v>0</v>
      </c>
      <c r="J106" s="39">
        <v>200288</v>
      </c>
      <c r="K106" s="39">
        <v>0</v>
      </c>
      <c r="L106" s="39">
        <v>0</v>
      </c>
      <c r="M106" s="39"/>
    </row>
    <row r="107" spans="2:13" ht="15" customHeight="1" x14ac:dyDescent="0.25">
      <c r="B107" s="40">
        <v>10</v>
      </c>
      <c r="C107" s="41" t="s">
        <v>217</v>
      </c>
      <c r="D107" s="39">
        <v>1710700</v>
      </c>
      <c r="E107" s="39">
        <v>12852778</v>
      </c>
      <c r="F107" s="39">
        <v>380456.65</v>
      </c>
      <c r="G107" s="39">
        <v>3556151.92</v>
      </c>
      <c r="H107" s="39">
        <v>0</v>
      </c>
      <c r="I107" s="39">
        <v>384611.36</v>
      </c>
      <c r="J107" s="39">
        <v>0</v>
      </c>
      <c r="K107" s="39">
        <v>-84009.48</v>
      </c>
      <c r="L107" s="39">
        <v>0</v>
      </c>
      <c r="M107" s="39"/>
    </row>
    <row r="108" spans="2:13" ht="15" customHeight="1" x14ac:dyDescent="0.25">
      <c r="B108" s="38" t="s">
        <v>197</v>
      </c>
      <c r="C108" s="38"/>
      <c r="D108" s="38"/>
      <c r="E108" s="38"/>
      <c r="F108" s="38"/>
      <c r="G108" s="38"/>
      <c r="H108" s="38"/>
      <c r="I108" s="38"/>
      <c r="J108" s="38"/>
      <c r="K108" s="38"/>
      <c r="L108" s="38"/>
      <c r="M108" s="38"/>
    </row>
    <row r="109" spans="2:13" ht="15" customHeight="1" x14ac:dyDescent="0.25">
      <c r="B109" s="42" t="s">
        <v>218</v>
      </c>
      <c r="C109" s="42"/>
      <c r="D109" s="39">
        <v>751059556.13</v>
      </c>
      <c r="E109" s="39">
        <v>4963357319.25</v>
      </c>
      <c r="F109" s="39">
        <v>228470453.69999999</v>
      </c>
      <c r="G109" s="39">
        <v>1315997570.8800001</v>
      </c>
      <c r="H109" s="39">
        <v>0</v>
      </c>
      <c r="I109" s="39">
        <v>7152641.8300000001</v>
      </c>
      <c r="J109" s="39">
        <v>54112778.659999996</v>
      </c>
      <c r="K109" s="39">
        <v>-71141973.859999999</v>
      </c>
      <c r="L109" s="39">
        <v>-15684393.869999999</v>
      </c>
      <c r="M109" s="39"/>
    </row>
    <row r="110" spans="2:13" ht="15" customHeight="1" x14ac:dyDescent="0.25">
      <c r="B110" s="38" t="s">
        <v>197</v>
      </c>
      <c r="C110" s="38"/>
      <c r="D110" s="38"/>
      <c r="E110" s="38"/>
      <c r="F110" s="38"/>
      <c r="G110" s="38"/>
      <c r="H110" s="38"/>
      <c r="I110" s="38"/>
      <c r="J110" s="38"/>
      <c r="K110" s="38"/>
      <c r="L110" s="38"/>
      <c r="M110" s="3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L35"/>
  <sheetViews>
    <sheetView view="pageBreakPreview" zoomScale="60" zoomScaleNormal="50" workbookViewId="0">
      <selection activeCell="D24" sqref="D24"/>
    </sheetView>
  </sheetViews>
  <sheetFormatPr defaultRowHeight="12.75" x14ac:dyDescent="0.2"/>
  <cols>
    <col min="1" max="1" width="8" style="85" customWidth="1"/>
    <col min="2" max="2" width="62.7109375" style="85" customWidth="1"/>
    <col min="3" max="3" width="22" style="85" customWidth="1"/>
    <col min="4" max="4" width="23" style="85" customWidth="1"/>
    <col min="5" max="5" width="24.42578125" style="85" customWidth="1"/>
    <col min="6" max="6" width="20.42578125" style="85" customWidth="1"/>
    <col min="7" max="7" width="25" style="85" customWidth="1"/>
    <col min="8" max="9" width="21.85546875" style="85" bestFit="1" customWidth="1"/>
    <col min="10" max="10" width="9.140625" style="85"/>
    <col min="11" max="11" width="15.28515625" style="85" bestFit="1" customWidth="1"/>
    <col min="12" max="12" width="21.85546875" style="85" bestFit="1" customWidth="1"/>
    <col min="13" max="16384" width="9.140625" style="85"/>
  </cols>
  <sheetData>
    <row r="2" spans="1:9" ht="33" x14ac:dyDescent="0.2">
      <c r="I2" s="86" t="s">
        <v>80</v>
      </c>
    </row>
    <row r="5" spans="1:9" ht="34.5" x14ac:dyDescent="0.55000000000000004">
      <c r="A5" s="282" t="s">
        <v>0</v>
      </c>
      <c r="B5" s="282"/>
      <c r="C5" s="282"/>
      <c r="D5" s="282"/>
      <c r="E5" s="282"/>
      <c r="F5" s="282"/>
      <c r="G5" s="282"/>
      <c r="H5" s="282"/>
      <c r="I5" s="282"/>
    </row>
    <row r="6" spans="1:9" ht="18" customHeight="1" x14ac:dyDescent="0.4">
      <c r="A6" s="87"/>
      <c r="B6" s="87"/>
      <c r="C6" s="87"/>
      <c r="D6" s="87"/>
      <c r="E6" s="87"/>
    </row>
    <row r="8" spans="1:9" ht="30" x14ac:dyDescent="0.2">
      <c r="A8" s="273" t="s">
        <v>79</v>
      </c>
      <c r="B8" s="273"/>
      <c r="C8" s="273"/>
      <c r="D8" s="273"/>
      <c r="E8" s="273"/>
      <c r="F8" s="273"/>
      <c r="G8" s="273"/>
      <c r="H8" s="273"/>
      <c r="I8" s="273"/>
    </row>
    <row r="10" spans="1:9" ht="30" x14ac:dyDescent="0.2">
      <c r="A10" s="273" t="s">
        <v>78</v>
      </c>
      <c r="B10" s="273"/>
      <c r="C10" s="273"/>
      <c r="D10" s="273"/>
      <c r="E10" s="273"/>
      <c r="F10" s="273"/>
      <c r="G10" s="273"/>
      <c r="H10" s="273"/>
      <c r="I10" s="273"/>
    </row>
    <row r="11" spans="1:9" ht="13.5" thickBot="1" x14ac:dyDescent="0.25"/>
    <row r="12" spans="1:9" ht="24" customHeight="1" x14ac:dyDescent="0.2">
      <c r="A12" s="88"/>
      <c r="B12" s="89"/>
      <c r="C12" s="89"/>
      <c r="D12" s="280" t="s">
        <v>16</v>
      </c>
      <c r="E12" s="280"/>
      <c r="F12" s="280" t="s">
        <v>66</v>
      </c>
      <c r="G12" s="280"/>
      <c r="H12" s="283" t="s">
        <v>17</v>
      </c>
      <c r="I12" s="281"/>
    </row>
    <row r="13" spans="1:9" ht="24" customHeight="1" x14ac:dyDescent="0.2">
      <c r="A13" s="90"/>
      <c r="B13" s="49"/>
      <c r="C13" s="49"/>
      <c r="D13" s="49" t="s">
        <v>14</v>
      </c>
      <c r="E13" s="49" t="s">
        <v>15</v>
      </c>
      <c r="F13" s="49" t="s">
        <v>14</v>
      </c>
      <c r="G13" s="49" t="s">
        <v>15</v>
      </c>
      <c r="H13" s="279" t="s">
        <v>14</v>
      </c>
      <c r="I13" s="284" t="s">
        <v>15</v>
      </c>
    </row>
    <row r="14" spans="1:9" ht="33" customHeight="1" x14ac:dyDescent="0.2">
      <c r="A14" s="90"/>
      <c r="B14" s="49"/>
      <c r="C14" s="49"/>
      <c r="D14" s="279" t="str">
        <f>+'SHEET-1'!D14:E14</f>
        <v>July-2022 to Sept-2022</v>
      </c>
      <c r="E14" s="279"/>
      <c r="F14" s="279" t="str">
        <f>+'SHEET-1'!F14:G14</f>
        <v>July-2021 to Sept-2021</v>
      </c>
      <c r="G14" s="279"/>
      <c r="H14" s="279"/>
      <c r="I14" s="284"/>
    </row>
    <row r="15" spans="1:9" ht="24" customHeight="1" x14ac:dyDescent="0.2">
      <c r="A15" s="90" t="s">
        <v>63</v>
      </c>
      <c r="B15" s="49" t="s">
        <v>76</v>
      </c>
      <c r="C15" s="49"/>
      <c r="D15" s="166"/>
      <c r="E15" s="166"/>
      <c r="F15" s="166"/>
      <c r="G15" s="166"/>
      <c r="H15" s="166"/>
      <c r="I15" s="167"/>
    </row>
    <row r="16" spans="1:9" ht="24" customHeight="1" x14ac:dyDescent="0.2">
      <c r="A16" s="90">
        <v>1</v>
      </c>
      <c r="B16" s="92" t="s">
        <v>123</v>
      </c>
      <c r="C16" s="49" t="s">
        <v>77</v>
      </c>
      <c r="D16" s="191">
        <f>ROUND(+('SHEET-3'!D15/'SHEET-1'!D22)*10,2)</f>
        <v>6.26</v>
      </c>
      <c r="E16" s="170">
        <f>ROUND(+('SHEET-3'!E15/'SHEET-1'!E22)*10,2)</f>
        <v>5.57</v>
      </c>
      <c r="F16" s="191">
        <f>ROUND(+('SHEET-3'!F15/'SHEET-1'!F22)*10,2)</f>
        <v>4.93</v>
      </c>
      <c r="G16" s="191">
        <f>ROUND(+('SHEET-3'!G15/'SHEET-1'!G22)*10,2)</f>
        <v>4.8099999999999996</v>
      </c>
      <c r="H16" s="171">
        <f>(D16-F16)/F16</f>
        <v>0.26977687626774849</v>
      </c>
      <c r="I16" s="169">
        <f>(E16-G16)/G16</f>
        <v>0.15800415800415815</v>
      </c>
    </row>
    <row r="17" spans="1:12" ht="24" customHeight="1" x14ac:dyDescent="0.2">
      <c r="A17" s="90">
        <v>2</v>
      </c>
      <c r="B17" s="92" t="s">
        <v>69</v>
      </c>
      <c r="C17" s="49" t="s">
        <v>77</v>
      </c>
      <c r="D17" s="170"/>
      <c r="E17" s="170"/>
      <c r="F17" s="197"/>
      <c r="G17" s="170"/>
      <c r="H17" s="20"/>
      <c r="I17" s="181"/>
    </row>
    <row r="18" spans="1:12" ht="24" customHeight="1" x14ac:dyDescent="0.2">
      <c r="A18" s="90">
        <v>3</v>
      </c>
      <c r="B18" s="92" t="s">
        <v>70</v>
      </c>
      <c r="C18" s="49" t="s">
        <v>77</v>
      </c>
      <c r="D18" s="170"/>
      <c r="E18" s="170"/>
      <c r="F18" s="170"/>
      <c r="G18" s="170"/>
      <c r="H18" s="20"/>
      <c r="I18" s="181"/>
    </row>
    <row r="19" spans="1:12" ht="24" customHeight="1" x14ac:dyDescent="0.2">
      <c r="A19" s="90">
        <v>4</v>
      </c>
      <c r="B19" s="92" t="s">
        <v>71</v>
      </c>
      <c r="C19" s="49" t="s">
        <v>77</v>
      </c>
      <c r="D19" s="170"/>
      <c r="E19" s="170"/>
      <c r="F19" s="170"/>
      <c r="G19" s="170"/>
      <c r="H19" s="20"/>
      <c r="I19" s="181"/>
    </row>
    <row r="20" spans="1:12" ht="24" customHeight="1" x14ac:dyDescent="0.2">
      <c r="A20" s="90">
        <v>5</v>
      </c>
      <c r="B20" s="92" t="s">
        <v>72</v>
      </c>
      <c r="C20" s="49" t="s">
        <v>77</v>
      </c>
      <c r="D20" s="170"/>
      <c r="E20" s="170"/>
      <c r="F20" s="170"/>
      <c r="G20" s="170"/>
      <c r="H20" s="20"/>
      <c r="I20" s="181"/>
    </row>
    <row r="21" spans="1:12" ht="28.5" customHeight="1" x14ac:dyDescent="0.2">
      <c r="A21" s="90">
        <v>6</v>
      </c>
      <c r="B21" s="92" t="s">
        <v>228</v>
      </c>
      <c r="C21" s="49" t="s">
        <v>77</v>
      </c>
      <c r="D21" s="170">
        <f>ROUND(+('SHEET-3'!D23/'SHEET-1'!D27)*10,2)</f>
        <v>8.02</v>
      </c>
      <c r="E21" s="191">
        <f>ROUND(+('SHEET-3'!E23/'SHEET-1'!E27)*10,2)</f>
        <v>7.37</v>
      </c>
      <c r="F21" s="191">
        <f>ROUND(+('SHEET-3'!F23/'SHEET-1'!F27)*10,2)</f>
        <v>6.53</v>
      </c>
      <c r="G21" s="191">
        <f>ROUND(+('SHEET-3'!G23/'SHEET-1'!G27)*10,2)</f>
        <v>6.4</v>
      </c>
      <c r="H21" s="171">
        <f>(D21-F21)/F21</f>
        <v>0.22817764165390494</v>
      </c>
      <c r="I21" s="169">
        <f>(E21-G21)/G21</f>
        <v>0.15156249999999996</v>
      </c>
    </row>
    <row r="22" spans="1:12" ht="24" customHeight="1" x14ac:dyDescent="0.2">
      <c r="A22" s="90"/>
      <c r="B22" s="49"/>
      <c r="C22" s="49"/>
      <c r="D22" s="170"/>
      <c r="E22" s="170"/>
      <c r="F22" s="170"/>
      <c r="G22" s="170"/>
      <c r="H22" s="20"/>
      <c r="I22" s="181"/>
    </row>
    <row r="23" spans="1:12" ht="24" customHeight="1" x14ac:dyDescent="0.2">
      <c r="A23" s="90" t="s">
        <v>64</v>
      </c>
      <c r="B23" s="49" t="s">
        <v>106</v>
      </c>
      <c r="C23" s="49"/>
      <c r="D23" s="170"/>
      <c r="E23" s="170"/>
      <c r="F23" s="170"/>
      <c r="G23" s="170"/>
      <c r="H23" s="165"/>
      <c r="I23" s="181"/>
    </row>
    <row r="24" spans="1:12" ht="24" customHeight="1" x14ac:dyDescent="0.25">
      <c r="A24" s="90">
        <v>1</v>
      </c>
      <c r="B24" s="92" t="s">
        <v>4</v>
      </c>
      <c r="C24" s="49" t="s">
        <v>77</v>
      </c>
      <c r="D24" s="170">
        <f>ROUND(+'SHEET-5'!D32/100,2)</f>
        <v>9.0299999999999994</v>
      </c>
      <c r="E24" s="191">
        <f>ROUND(+'SHEET-5'!E32/100,2)</f>
        <v>7.83</v>
      </c>
      <c r="F24" s="191">
        <f>ROUND(+'SHEET-5'!F32/100,2)</f>
        <v>6.09</v>
      </c>
      <c r="G24" s="191">
        <f>ROUND(+'SHEET-5'!G32/100,2)</f>
        <v>6.48</v>
      </c>
      <c r="H24" s="171">
        <f t="shared" ref="H24:I26" si="0">(D24-F24)/F24</f>
        <v>0.48275862068965508</v>
      </c>
      <c r="I24" s="169">
        <f t="shared" si="0"/>
        <v>0.20833333333333326</v>
      </c>
      <c r="K24" s="98"/>
      <c r="L24" s="98"/>
    </row>
    <row r="25" spans="1:12" ht="24" customHeight="1" x14ac:dyDescent="0.25">
      <c r="A25" s="90">
        <v>2</v>
      </c>
      <c r="B25" s="92" t="s">
        <v>73</v>
      </c>
      <c r="C25" s="49" t="s">
        <v>77</v>
      </c>
      <c r="D25" s="170">
        <f>ROUND(+'SHEET-5'!D39/100,2)</f>
        <v>5.43</v>
      </c>
      <c r="E25" s="191">
        <f>ROUND(+'SHEET-5'!E39/100,2)</f>
        <v>5.87</v>
      </c>
      <c r="F25" s="191">
        <f>ROUND(+'SHEET-5'!F39/100,2)</f>
        <v>5.91</v>
      </c>
      <c r="G25" s="191">
        <f>ROUND(+'SHEET-5'!G39/100,2)</f>
        <v>5.79</v>
      </c>
      <c r="H25" s="171">
        <f t="shared" si="0"/>
        <v>-8.1218274111675204E-2</v>
      </c>
      <c r="I25" s="169">
        <f t="shared" si="0"/>
        <v>1.3816925734024191E-2</v>
      </c>
      <c r="K25" s="98"/>
      <c r="L25" s="98"/>
    </row>
    <row r="26" spans="1:12" ht="24" customHeight="1" x14ac:dyDescent="0.25">
      <c r="A26" s="99">
        <v>3</v>
      </c>
      <c r="B26" s="100" t="s">
        <v>74</v>
      </c>
      <c r="C26" s="49" t="s">
        <v>77</v>
      </c>
      <c r="D26" s="164">
        <f>ROUND(+'SHEET-5'!D40/100,2)</f>
        <v>7</v>
      </c>
      <c r="E26" s="190">
        <f>ROUND(+'SHEET-5'!E40/100,2)</f>
        <v>6.69</v>
      </c>
      <c r="F26" s="190">
        <f>ROUND(+'SHEET-5'!F40/100,2)</f>
        <v>6</v>
      </c>
      <c r="G26" s="190">
        <f>ROUND(+'SHEET-5'!G40/100,2)</f>
        <v>6.08</v>
      </c>
      <c r="H26" s="171">
        <f t="shared" si="0"/>
        <v>0.16666666666666666</v>
      </c>
      <c r="I26" s="169">
        <f t="shared" si="0"/>
        <v>0.1003289473684211</v>
      </c>
      <c r="K26" s="98"/>
      <c r="L26" s="98"/>
    </row>
    <row r="27" spans="1:12" ht="24" customHeight="1" x14ac:dyDescent="0.2">
      <c r="A27" s="99"/>
      <c r="B27" s="100"/>
      <c r="C27" s="91"/>
      <c r="D27" s="164"/>
      <c r="E27" s="164"/>
      <c r="F27" s="164"/>
      <c r="G27" s="164"/>
      <c r="H27" s="53"/>
      <c r="I27" s="101"/>
    </row>
    <row r="28" spans="1:12" ht="24" customHeight="1" thickBot="1" x14ac:dyDescent="0.25">
      <c r="A28" s="94"/>
      <c r="B28" s="95" t="s">
        <v>75</v>
      </c>
      <c r="C28" s="21"/>
      <c r="D28" s="102"/>
      <c r="E28" s="102"/>
      <c r="F28" s="102"/>
      <c r="G28" s="102"/>
      <c r="H28" s="103"/>
      <c r="I28" s="104"/>
    </row>
    <row r="30" spans="1:12" ht="15.75" x14ac:dyDescent="0.2">
      <c r="F30" s="105"/>
      <c r="G30" s="105"/>
      <c r="H30" s="105"/>
    </row>
    <row r="35" spans="1:2" ht="12.75" customHeight="1" x14ac:dyDescent="0.2">
      <c r="A35" s="267"/>
      <c r="B35" s="267"/>
    </row>
  </sheetData>
  <mergeCells count="11">
    <mergeCell ref="A5:I5"/>
    <mergeCell ref="A35:B35"/>
    <mergeCell ref="H12:I12"/>
    <mergeCell ref="H13:H14"/>
    <mergeCell ref="I13:I14"/>
    <mergeCell ref="D14:E14"/>
    <mergeCell ref="D12:E12"/>
    <mergeCell ref="F12:G12"/>
    <mergeCell ref="F14:G14"/>
    <mergeCell ref="A10:I10"/>
    <mergeCell ref="A8:I8"/>
  </mergeCells>
  <phoneticPr fontId="2" type="noConversion"/>
  <printOptions horizontalCentered="1" verticalCentered="1"/>
  <pageMargins left="0.5" right="0.25" top="1.25" bottom="0.25" header="0.5" footer="0.5"/>
  <pageSetup paperSize="9" scale="6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M67"/>
  <sheetViews>
    <sheetView view="pageBreakPreview" zoomScale="60" zoomScaleNormal="60" workbookViewId="0">
      <selection activeCell="E22" sqref="E22"/>
    </sheetView>
  </sheetViews>
  <sheetFormatPr defaultRowHeight="12.75" x14ac:dyDescent="0.2"/>
  <cols>
    <col min="1" max="1" width="8" style="85" customWidth="1"/>
    <col min="2" max="2" width="76.42578125" style="85" customWidth="1"/>
    <col min="3" max="3" width="22" style="85" customWidth="1"/>
    <col min="4" max="4" width="25" style="85" customWidth="1"/>
    <col min="5" max="5" width="23.5703125" style="85" customWidth="1"/>
    <col min="6" max="6" width="24.42578125" style="85" customWidth="1"/>
    <col min="7" max="7" width="23.5703125" style="85" customWidth="1"/>
    <col min="8" max="8" width="19.5703125" style="85" customWidth="1"/>
    <col min="9" max="9" width="21.28515625" style="85" customWidth="1"/>
    <col min="10" max="10" width="9.85546875" style="85" bestFit="1" customWidth="1"/>
    <col min="11" max="11" width="9.140625" style="85"/>
    <col min="12" max="13" width="15.85546875" style="85" bestFit="1" customWidth="1"/>
    <col min="14" max="16384" width="9.140625" style="85"/>
  </cols>
  <sheetData>
    <row r="2" spans="1:11" ht="30" x14ac:dyDescent="0.2">
      <c r="I2" s="106" t="s">
        <v>43</v>
      </c>
    </row>
    <row r="5" spans="1:11" ht="30" x14ac:dyDescent="0.45">
      <c r="A5" s="285" t="s">
        <v>0</v>
      </c>
      <c r="B5" s="285"/>
      <c r="C5" s="285"/>
      <c r="D5" s="285"/>
      <c r="E5" s="285"/>
      <c r="F5" s="285"/>
      <c r="G5" s="285"/>
      <c r="H5" s="285"/>
      <c r="I5" s="285"/>
    </row>
    <row r="6" spans="1:11" ht="18" customHeight="1" x14ac:dyDescent="0.4">
      <c r="A6" s="87"/>
      <c r="B6" s="87"/>
      <c r="C6" s="87"/>
      <c r="D6" s="87"/>
      <c r="E6" s="87"/>
    </row>
    <row r="8" spans="1:11" ht="27.75" x14ac:dyDescent="0.2">
      <c r="A8" s="286" t="s">
        <v>42</v>
      </c>
      <c r="B8" s="286"/>
      <c r="C8" s="286"/>
      <c r="D8" s="286"/>
      <c r="E8" s="286"/>
      <c r="F8" s="286"/>
      <c r="G8" s="286"/>
      <c r="H8" s="286"/>
      <c r="I8" s="286"/>
    </row>
    <row r="10" spans="1:11" ht="27.75" x14ac:dyDescent="0.2">
      <c r="A10" s="286" t="s">
        <v>41</v>
      </c>
      <c r="B10" s="286"/>
      <c r="C10" s="286"/>
      <c r="D10" s="286"/>
      <c r="E10" s="286"/>
      <c r="F10" s="286"/>
      <c r="G10" s="286"/>
      <c r="H10" s="286"/>
      <c r="I10" s="286"/>
    </row>
    <row r="11" spans="1:11" ht="13.5" thickBot="1" x14ac:dyDescent="0.25"/>
    <row r="12" spans="1:11" ht="21.6" customHeight="1" x14ac:dyDescent="0.2">
      <c r="A12" s="88"/>
      <c r="B12" s="89"/>
      <c r="C12" s="89"/>
      <c r="D12" s="280" t="s">
        <v>105</v>
      </c>
      <c r="E12" s="280"/>
      <c r="F12" s="280" t="s">
        <v>66</v>
      </c>
      <c r="G12" s="280"/>
      <c r="H12" s="280" t="s">
        <v>17</v>
      </c>
      <c r="I12" s="281"/>
    </row>
    <row r="13" spans="1:11" ht="21.6" customHeight="1" x14ac:dyDescent="0.2">
      <c r="A13" s="90"/>
      <c r="B13" s="49"/>
      <c r="C13" s="49"/>
      <c r="D13" s="49" t="s">
        <v>14</v>
      </c>
      <c r="E13" s="49" t="s">
        <v>15</v>
      </c>
      <c r="F13" s="49" t="s">
        <v>14</v>
      </c>
      <c r="G13" s="49" t="s">
        <v>15</v>
      </c>
      <c r="H13" s="279" t="s">
        <v>14</v>
      </c>
      <c r="I13" s="274" t="s">
        <v>15</v>
      </c>
    </row>
    <row r="14" spans="1:11" ht="33" customHeight="1" x14ac:dyDescent="0.2">
      <c r="A14" s="90"/>
      <c r="B14" s="49"/>
      <c r="C14" s="49"/>
      <c r="D14" s="279" t="str">
        <f>+'SHEET-2'!D14:E14</f>
        <v>July-2022 to Sept-2022</v>
      </c>
      <c r="E14" s="279"/>
      <c r="F14" s="279" t="str">
        <f>+'SHEET-2'!F14:G14</f>
        <v>July-2021 to Sept-2021</v>
      </c>
      <c r="G14" s="279"/>
      <c r="H14" s="270"/>
      <c r="I14" s="274"/>
    </row>
    <row r="15" spans="1:11" ht="24" customHeight="1" x14ac:dyDescent="0.25">
      <c r="A15" s="90">
        <v>1</v>
      </c>
      <c r="B15" s="92" t="s">
        <v>125</v>
      </c>
      <c r="C15" s="49" t="s">
        <v>13</v>
      </c>
      <c r="D15" s="170">
        <f>+E15-2035</f>
        <v>2257.0500000000002</v>
      </c>
      <c r="E15" s="170">
        <v>4292.05</v>
      </c>
      <c r="F15" s="202">
        <f>+G15-1546.64</f>
        <v>1696.8700000000001</v>
      </c>
      <c r="G15" s="202">
        <v>3243.51</v>
      </c>
      <c r="H15" s="171">
        <f t="shared" ref="H15:I21" si="0">(D15-F15)/F15</f>
        <v>0.33012546629971656</v>
      </c>
      <c r="I15" s="178">
        <f t="shared" si="0"/>
        <v>0.32327324410900532</v>
      </c>
      <c r="J15" s="203"/>
      <c r="K15" s="214"/>
    </row>
    <row r="16" spans="1:11" ht="24" customHeight="1" x14ac:dyDescent="0.25">
      <c r="A16" s="90">
        <v>2</v>
      </c>
      <c r="B16" s="92" t="s">
        <v>25</v>
      </c>
      <c r="C16" s="49" t="s">
        <v>13</v>
      </c>
      <c r="D16" s="170">
        <f>+E16-141.74</f>
        <v>150.06</v>
      </c>
      <c r="E16" s="170">
        <v>291.8</v>
      </c>
      <c r="F16" s="202">
        <f>+G16-123.08</f>
        <v>140.02000000000004</v>
      </c>
      <c r="G16" s="205">
        <f>+'SHEET-7'!D23</f>
        <v>263.10000000000002</v>
      </c>
      <c r="H16" s="171">
        <f t="shared" si="0"/>
        <v>7.1704042279674057E-2</v>
      </c>
      <c r="I16" s="178">
        <f t="shared" si="0"/>
        <v>0.10908399847966548</v>
      </c>
      <c r="J16" s="203"/>
    </row>
    <row r="17" spans="1:13" ht="24" customHeight="1" x14ac:dyDescent="0.25">
      <c r="A17" s="90">
        <v>3</v>
      </c>
      <c r="B17" s="92" t="s">
        <v>26</v>
      </c>
      <c r="C17" s="49" t="s">
        <v>13</v>
      </c>
      <c r="D17" s="170">
        <f>+E17-12.14</f>
        <v>12.14</v>
      </c>
      <c r="E17" s="170">
        <v>24.28</v>
      </c>
      <c r="F17" s="202">
        <f>+G17-13.63</f>
        <v>13.62</v>
      </c>
      <c r="G17" s="205">
        <f>+'SHEET-7'!D29</f>
        <v>27.25</v>
      </c>
      <c r="H17" s="171">
        <f t="shared" si="0"/>
        <v>-0.10866372980910416</v>
      </c>
      <c r="I17" s="178">
        <f t="shared" si="0"/>
        <v>-0.10899082568807335</v>
      </c>
      <c r="J17" s="203"/>
    </row>
    <row r="18" spans="1:13" ht="24" customHeight="1" x14ac:dyDescent="0.3">
      <c r="A18" s="90">
        <v>4</v>
      </c>
      <c r="B18" s="92" t="s">
        <v>27</v>
      </c>
      <c r="C18" s="49" t="s">
        <v>13</v>
      </c>
      <c r="D18" s="170">
        <f>+E18-20.17</f>
        <v>20.689999999999998</v>
      </c>
      <c r="E18" s="170">
        <v>40.86</v>
      </c>
      <c r="F18" s="202">
        <f>+G18-20.32</f>
        <v>20.32</v>
      </c>
      <c r="G18" s="205">
        <f>+'SHEET-7'!D24</f>
        <v>40.64</v>
      </c>
      <c r="H18" s="171">
        <f t="shared" si="0"/>
        <v>1.8208661417322709E-2</v>
      </c>
      <c r="I18" s="178">
        <f>(E18-G18)/G18</f>
        <v>5.4133858267716257E-3</v>
      </c>
      <c r="J18" s="203"/>
      <c r="L18" s="107"/>
      <c r="M18" s="107"/>
    </row>
    <row r="19" spans="1:13" ht="24" customHeight="1" x14ac:dyDescent="0.3">
      <c r="A19" s="90">
        <v>5</v>
      </c>
      <c r="B19" s="92" t="s">
        <v>28</v>
      </c>
      <c r="C19" s="49" t="s">
        <v>13</v>
      </c>
      <c r="D19" s="170">
        <f>+E19-64.88</f>
        <v>69.88</v>
      </c>
      <c r="E19" s="170">
        <v>134.76</v>
      </c>
      <c r="F19" s="202">
        <f>+G19-71.36</f>
        <v>71.36999999999999</v>
      </c>
      <c r="G19" s="205">
        <f>+'SHEET-7'!D28</f>
        <v>142.72999999999999</v>
      </c>
      <c r="H19" s="171">
        <f t="shared" si="0"/>
        <v>-2.0877119237774907E-2</v>
      </c>
      <c r="I19" s="178">
        <f>(E19-G19)/G19</f>
        <v>-5.5839697330624251E-2</v>
      </c>
      <c r="J19" s="203"/>
      <c r="L19" s="108"/>
      <c r="M19" s="108"/>
    </row>
    <row r="20" spans="1:13" ht="24" customHeight="1" x14ac:dyDescent="0.3">
      <c r="A20" s="90">
        <v>6</v>
      </c>
      <c r="B20" s="92" t="s">
        <v>29</v>
      </c>
      <c r="C20" s="49" t="s">
        <v>13</v>
      </c>
      <c r="D20" s="170">
        <f>+E20-22.71</f>
        <v>24.229999999999997</v>
      </c>
      <c r="E20" s="170">
        <v>46.94</v>
      </c>
      <c r="F20" s="202">
        <f>+G20-19.71</f>
        <v>22.479999999999997</v>
      </c>
      <c r="G20" s="205">
        <f>+'SHEET-7'!D25</f>
        <v>42.19</v>
      </c>
      <c r="H20" s="179">
        <f t="shared" si="0"/>
        <v>7.7846975088967985E-2</v>
      </c>
      <c r="I20" s="180">
        <f>(E20-G20)/G20</f>
        <v>0.11258592083432094</v>
      </c>
      <c r="J20" s="203"/>
      <c r="L20" s="108"/>
      <c r="M20" s="108"/>
    </row>
    <row r="21" spans="1:13" ht="24" customHeight="1" x14ac:dyDescent="0.3">
      <c r="A21" s="90" t="s">
        <v>116</v>
      </c>
      <c r="B21" s="92" t="s">
        <v>117</v>
      </c>
      <c r="C21" s="49" t="s">
        <v>13</v>
      </c>
      <c r="D21" s="202">
        <v>0</v>
      </c>
      <c r="E21" s="170">
        <f>+'SHEET-7'!C32</f>
        <v>0</v>
      </c>
      <c r="F21" s="202">
        <f>+G21+10</f>
        <v>-10.11</v>
      </c>
      <c r="G21" s="205">
        <f>+'SHEET-7'!D32</f>
        <v>-20.11</v>
      </c>
      <c r="H21" s="198">
        <f t="shared" si="0"/>
        <v>-1</v>
      </c>
      <c r="I21" s="198">
        <f t="shared" si="0"/>
        <v>-1</v>
      </c>
      <c r="J21" s="203"/>
      <c r="L21" s="108"/>
      <c r="M21" s="108"/>
    </row>
    <row r="22" spans="1:13" ht="24" customHeight="1" x14ac:dyDescent="0.3">
      <c r="A22" s="90">
        <v>7</v>
      </c>
      <c r="B22" s="92" t="s">
        <v>124</v>
      </c>
      <c r="C22" s="49" t="s">
        <v>13</v>
      </c>
      <c r="D22" s="170">
        <f>+E22-13.15</f>
        <v>13.15</v>
      </c>
      <c r="E22" s="170">
        <v>26.3</v>
      </c>
      <c r="F22" s="202">
        <f>+G22-4.14</f>
        <v>8.14</v>
      </c>
      <c r="G22" s="205">
        <f>+'SHEET-7'!D26</f>
        <v>12.28</v>
      </c>
      <c r="H22" s="219">
        <f t="shared" ref="H22" si="1">(D22-F22)/F22</f>
        <v>0.61547911547911538</v>
      </c>
      <c r="I22" s="219">
        <f t="shared" ref="I22" si="2">(E22-G22)/G22</f>
        <v>1.1416938110749186</v>
      </c>
      <c r="J22" s="203"/>
      <c r="L22" s="108"/>
      <c r="M22" s="108"/>
    </row>
    <row r="23" spans="1:13" ht="24" customHeight="1" x14ac:dyDescent="0.2">
      <c r="A23" s="90">
        <v>8</v>
      </c>
      <c r="B23" s="92" t="s">
        <v>30</v>
      </c>
      <c r="C23" s="49" t="s">
        <v>13</v>
      </c>
      <c r="D23" s="22">
        <f>+SUM(D15:D22)</f>
        <v>2547.2000000000003</v>
      </c>
      <c r="E23" s="22">
        <f>+SUM(E15:E22)</f>
        <v>4856.99</v>
      </c>
      <c r="F23" s="205">
        <f>+SUM(F15:F22)</f>
        <v>1962.71</v>
      </c>
      <c r="G23" s="205">
        <f>+SUM(G15:G22)</f>
        <v>3751.59</v>
      </c>
      <c r="H23" s="171">
        <f t="shared" ref="H23:I32" si="3">(D23-F23)/F23</f>
        <v>0.29779743314091245</v>
      </c>
      <c r="I23" s="178">
        <f t="shared" si="3"/>
        <v>0.29464840241071111</v>
      </c>
      <c r="J23" s="97"/>
    </row>
    <row r="24" spans="1:13" ht="24" customHeight="1" x14ac:dyDescent="0.2">
      <c r="A24" s="90"/>
      <c r="B24" s="231" t="s">
        <v>233</v>
      </c>
      <c r="C24" s="224"/>
      <c r="D24" s="22"/>
      <c r="E24" s="22"/>
      <c r="F24" s="225"/>
      <c r="G24" s="225"/>
      <c r="H24" s="226"/>
      <c r="I24" s="178"/>
      <c r="J24" s="97"/>
    </row>
    <row r="25" spans="1:13" ht="24" customHeight="1" x14ac:dyDescent="0.2">
      <c r="A25" s="90">
        <v>9</v>
      </c>
      <c r="B25" s="92" t="s">
        <v>87</v>
      </c>
      <c r="C25" s="224" t="s">
        <v>13</v>
      </c>
      <c r="D25" s="202">
        <f>+E25-68.64</f>
        <v>75.27</v>
      </c>
      <c r="E25" s="202">
        <f>+'SHEET-7'!C14</f>
        <v>143.91</v>
      </c>
      <c r="F25" s="202">
        <f>+G25-30.213</f>
        <v>42.916999999999994</v>
      </c>
      <c r="G25" s="225">
        <f>+'SHEET-7'!D14</f>
        <v>73.13</v>
      </c>
      <c r="H25" s="226">
        <f t="shared" ref="H25" si="4">(D25-F25)/F25</f>
        <v>0.75385045553044261</v>
      </c>
      <c r="I25" s="178">
        <f t="shared" ref="I25" si="5">(E25-G25)/G25</f>
        <v>0.96786544509777117</v>
      </c>
    </row>
    <row r="26" spans="1:13" ht="24" customHeight="1" x14ac:dyDescent="0.2">
      <c r="A26" s="90">
        <v>10</v>
      </c>
      <c r="B26" s="92" t="s">
        <v>107</v>
      </c>
      <c r="C26" s="49" t="s">
        <v>13</v>
      </c>
      <c r="D26" s="170">
        <f>+E26-2209.75</f>
        <v>2263.2200000000003</v>
      </c>
      <c r="E26" s="170">
        <v>4472.97</v>
      </c>
      <c r="F26" s="202">
        <f>+G26-1719.69</f>
        <v>1843.02</v>
      </c>
      <c r="G26" s="205">
        <f>+'SHEET-7'!D11</f>
        <v>3562.71</v>
      </c>
      <c r="H26" s="171">
        <f t="shared" ref="H26:I28" si="6">(D26-F26)/F26</f>
        <v>0.22799535544920851</v>
      </c>
      <c r="I26" s="169">
        <f t="shared" si="6"/>
        <v>0.25549651809998575</v>
      </c>
    </row>
    <row r="27" spans="1:13" ht="24" customHeight="1" x14ac:dyDescent="0.2">
      <c r="A27" s="90">
        <v>11</v>
      </c>
      <c r="B27" s="92" t="s">
        <v>33</v>
      </c>
      <c r="C27" s="49" t="s">
        <v>13</v>
      </c>
      <c r="D27" s="170">
        <f>+E27-17.19</f>
        <v>17.2</v>
      </c>
      <c r="E27" s="170">
        <v>34.39</v>
      </c>
      <c r="F27" s="202">
        <f>+G27-23.21</f>
        <v>19.21</v>
      </c>
      <c r="G27" s="205">
        <f>+'SHEET-7'!D13</f>
        <v>42.42</v>
      </c>
      <c r="H27" s="171">
        <f t="shared" si="6"/>
        <v>-0.10463300364393553</v>
      </c>
      <c r="I27" s="169">
        <f t="shared" si="6"/>
        <v>-0.18929750117868932</v>
      </c>
    </row>
    <row r="28" spans="1:13" ht="24" customHeight="1" x14ac:dyDescent="0.2">
      <c r="A28" s="90">
        <v>12</v>
      </c>
      <c r="B28" s="92" t="s">
        <v>224</v>
      </c>
      <c r="C28" s="49" t="s">
        <v>13</v>
      </c>
      <c r="D28" s="170">
        <f>+E28-26.79</f>
        <v>26.89</v>
      </c>
      <c r="E28" s="170">
        <v>53.68</v>
      </c>
      <c r="F28" s="202">
        <f>+G28-52.75</f>
        <v>52.739999999999995</v>
      </c>
      <c r="G28" s="205">
        <f>+'SHEET-7'!D12</f>
        <v>105.49</v>
      </c>
      <c r="H28" s="171">
        <f t="shared" si="6"/>
        <v>-0.49014031095942351</v>
      </c>
      <c r="I28" s="169">
        <f t="shared" si="6"/>
        <v>-0.49113660062565168</v>
      </c>
    </row>
    <row r="29" spans="1:13" ht="24" customHeight="1" x14ac:dyDescent="0.2">
      <c r="A29" s="90">
        <v>13</v>
      </c>
      <c r="B29" s="92" t="s">
        <v>234</v>
      </c>
      <c r="C29" s="224" t="s">
        <v>13</v>
      </c>
      <c r="D29" s="202">
        <f>+SUM(D25:D28)</f>
        <v>2382.58</v>
      </c>
      <c r="E29" s="202">
        <f t="shared" ref="E29:G29" si="7">+SUM(E25:E28)</f>
        <v>4704.9500000000007</v>
      </c>
      <c r="F29" s="202">
        <f t="shared" si="7"/>
        <v>1957.8869999999999</v>
      </c>
      <c r="G29" s="202">
        <f t="shared" si="7"/>
        <v>3783.75</v>
      </c>
      <c r="H29" s="226">
        <f t="shared" ref="H29" si="8">(D29-F29)/F29</f>
        <v>0.21691394855780746</v>
      </c>
      <c r="I29" s="227">
        <f t="shared" ref="I29" si="9">(E29-G29)/G29</f>
        <v>0.24346217376940885</v>
      </c>
    </row>
    <row r="30" spans="1:13" ht="24" customHeight="1" x14ac:dyDescent="0.2">
      <c r="A30" s="90">
        <v>14</v>
      </c>
      <c r="B30" s="92" t="s">
        <v>118</v>
      </c>
      <c r="C30" s="49" t="s">
        <v>34</v>
      </c>
      <c r="D30" s="171">
        <f>D15/D23</f>
        <v>0.88609060929648242</v>
      </c>
      <c r="E30" s="171">
        <f>E15/E23</f>
        <v>0.88368516303307199</v>
      </c>
      <c r="F30" s="201">
        <f>F15/F23</f>
        <v>0.86455462090680746</v>
      </c>
      <c r="G30" s="201">
        <f>G15/G23</f>
        <v>0.86456942256483249</v>
      </c>
      <c r="H30" s="171">
        <f>D30-F30</f>
        <v>2.1535988389674965E-2</v>
      </c>
      <c r="I30" s="171">
        <f>E30-G30</f>
        <v>1.9115740468239495E-2</v>
      </c>
    </row>
    <row r="31" spans="1:13" ht="24" customHeight="1" x14ac:dyDescent="0.2">
      <c r="A31" s="90"/>
      <c r="B31" s="92"/>
      <c r="C31" s="224"/>
      <c r="D31" s="226"/>
      <c r="E31" s="226"/>
      <c r="F31" s="226"/>
      <c r="G31" s="226"/>
      <c r="H31" s="226"/>
      <c r="I31" s="230"/>
    </row>
    <row r="32" spans="1:13" ht="24" customHeight="1" x14ac:dyDescent="0.2">
      <c r="A32" s="90">
        <v>15</v>
      </c>
      <c r="B32" s="92" t="s">
        <v>31</v>
      </c>
      <c r="C32" s="49" t="s">
        <v>13</v>
      </c>
      <c r="D32" s="170">
        <f>+E32-30.21</f>
        <v>-41.55</v>
      </c>
      <c r="E32" s="170">
        <v>-11.34</v>
      </c>
      <c r="F32" s="202">
        <f>+G32-30.21</f>
        <v>33.7149</v>
      </c>
      <c r="G32" s="202">
        <v>63.924900000000001</v>
      </c>
      <c r="H32" s="171">
        <f t="shared" si="3"/>
        <v>-2.2323927996227186</v>
      </c>
      <c r="I32" s="178">
        <f t="shared" si="3"/>
        <v>-1.1773956627229765</v>
      </c>
    </row>
    <row r="33" spans="1:9" ht="24" customHeight="1" x14ac:dyDescent="0.2">
      <c r="A33" s="90">
        <v>16</v>
      </c>
      <c r="B33" s="92" t="s">
        <v>32</v>
      </c>
      <c r="C33" s="49" t="s">
        <v>13</v>
      </c>
      <c r="D33" s="170">
        <v>0</v>
      </c>
      <c r="E33" s="170">
        <f>+D33</f>
        <v>0</v>
      </c>
      <c r="F33" s="202">
        <v>0</v>
      </c>
      <c r="G33" s="205">
        <v>0</v>
      </c>
      <c r="H33" s="219">
        <v>0</v>
      </c>
      <c r="I33" s="178">
        <v>0</v>
      </c>
    </row>
    <row r="34" spans="1:9" ht="24" customHeight="1" x14ac:dyDescent="0.2">
      <c r="A34" s="90">
        <v>17</v>
      </c>
      <c r="B34" s="92" t="s">
        <v>229</v>
      </c>
      <c r="C34" s="49" t="s">
        <v>13</v>
      </c>
      <c r="D34" s="168">
        <v>0</v>
      </c>
      <c r="E34" s="168">
        <f>+D34</f>
        <v>0</v>
      </c>
      <c r="F34" s="205">
        <f>+G34-0.02</f>
        <v>0.02</v>
      </c>
      <c r="G34" s="205">
        <v>0.04</v>
      </c>
      <c r="H34" s="219">
        <v>0</v>
      </c>
      <c r="I34" s="178">
        <v>0</v>
      </c>
    </row>
    <row r="42" spans="1:9" ht="12.75" customHeight="1" x14ac:dyDescent="0.2">
      <c r="A42" s="267"/>
      <c r="B42" s="267"/>
    </row>
    <row r="57" spans="4:8" ht="23.25" x14ac:dyDescent="0.35">
      <c r="D57" s="109">
        <f>3+0.58+0.94</f>
        <v>4.5199999999999996</v>
      </c>
      <c r="E57" s="109">
        <v>30066980.798</v>
      </c>
      <c r="F57" s="85">
        <v>5786401.75</v>
      </c>
      <c r="G57" s="110">
        <v>9381444.3800000008</v>
      </c>
      <c r="H57" s="85">
        <v>87524122.379999995</v>
      </c>
    </row>
    <row r="58" spans="4:8" ht="23.25" x14ac:dyDescent="0.35">
      <c r="D58" s="111"/>
      <c r="E58" s="111">
        <f>E57/10^7</f>
        <v>3.0066980798</v>
      </c>
      <c r="F58" s="111">
        <f t="shared" ref="F58:H58" si="10">F57/10^7</f>
        <v>0.57864017499999998</v>
      </c>
      <c r="G58" s="111">
        <f t="shared" si="10"/>
        <v>0.93814443800000014</v>
      </c>
      <c r="H58" s="111">
        <f t="shared" si="10"/>
        <v>8.7524122379999998</v>
      </c>
    </row>
    <row r="59" spans="4:8" ht="23.25" x14ac:dyDescent="0.35">
      <c r="D59" s="111"/>
      <c r="E59" s="111"/>
    </row>
    <row r="60" spans="4:8" ht="23.25" x14ac:dyDescent="0.35">
      <c r="D60" s="111"/>
      <c r="E60" s="111"/>
    </row>
    <row r="61" spans="4:8" ht="23.25" x14ac:dyDescent="0.35">
      <c r="D61" s="111"/>
      <c r="E61" s="111"/>
    </row>
    <row r="62" spans="4:8" ht="23.25" x14ac:dyDescent="0.35">
      <c r="D62" s="111"/>
      <c r="E62" s="111"/>
    </row>
    <row r="63" spans="4:8" ht="23.25" x14ac:dyDescent="0.35">
      <c r="D63" s="111"/>
      <c r="E63" s="111"/>
    </row>
    <row r="64" spans="4:8" ht="23.25" x14ac:dyDescent="0.35">
      <c r="D64" s="111"/>
      <c r="E64" s="111"/>
    </row>
    <row r="66" spans="4:4" ht="23.25" x14ac:dyDescent="0.35">
      <c r="D66" s="111">
        <v>0.64</v>
      </c>
    </row>
    <row r="67" spans="4:4" ht="23.25" x14ac:dyDescent="0.35">
      <c r="D67" s="111">
        <f>SUM(D64:D66)</f>
        <v>0.64</v>
      </c>
    </row>
  </sheetData>
  <mergeCells count="11">
    <mergeCell ref="F14:G14"/>
    <mergeCell ref="A5:I5"/>
    <mergeCell ref="A8:I8"/>
    <mergeCell ref="A10:I10"/>
    <mergeCell ref="A42:B42"/>
    <mergeCell ref="H12:I12"/>
    <mergeCell ref="H13:H14"/>
    <mergeCell ref="I13:I14"/>
    <mergeCell ref="D14:E14"/>
    <mergeCell ref="D12:E12"/>
    <mergeCell ref="F12:G12"/>
  </mergeCells>
  <phoneticPr fontId="2" type="noConversion"/>
  <printOptions horizontalCentered="1" verticalCentered="1"/>
  <pageMargins left="0.25" right="0.25" top="1" bottom="0.25" header="0.5" footer="0.5"/>
  <pageSetup paperSize="9" scale="5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N68"/>
  <sheetViews>
    <sheetView view="pageBreakPreview" topLeftCell="A6" zoomScale="60" zoomScaleNormal="60" workbookViewId="0">
      <selection activeCell="E40" sqref="E40"/>
    </sheetView>
  </sheetViews>
  <sheetFormatPr defaultRowHeight="12.75" x14ac:dyDescent="0.2"/>
  <cols>
    <col min="1" max="1" width="8" style="58" customWidth="1"/>
    <col min="2" max="2" width="77.5703125" style="58" customWidth="1"/>
    <col min="3" max="3" width="17" style="58" customWidth="1"/>
    <col min="4" max="4" width="24.42578125" style="58" customWidth="1"/>
    <col min="5" max="5" width="25.5703125" style="58" customWidth="1"/>
    <col min="6" max="6" width="23.85546875" style="58" customWidth="1"/>
    <col min="7" max="7" width="25.85546875" style="58" customWidth="1"/>
    <col min="8" max="8" width="19.42578125" style="58" customWidth="1"/>
    <col min="9" max="9" width="20.42578125" style="58" customWidth="1"/>
    <col min="10" max="12" width="9.140625" style="58"/>
    <col min="13" max="13" width="15.85546875" style="58" bestFit="1" customWidth="1"/>
    <col min="14" max="14" width="24.7109375" style="58" bestFit="1" customWidth="1"/>
    <col min="15" max="16384" width="9.140625" style="58"/>
  </cols>
  <sheetData>
    <row r="2" spans="1:9" ht="33" x14ac:dyDescent="0.2">
      <c r="I2" s="59" t="s">
        <v>225</v>
      </c>
    </row>
    <row r="5" spans="1:9" ht="30" x14ac:dyDescent="0.45">
      <c r="A5" s="287" t="s">
        <v>0</v>
      </c>
      <c r="B5" s="287"/>
      <c r="C5" s="287"/>
      <c r="D5" s="287"/>
      <c r="E5" s="287"/>
      <c r="F5" s="287"/>
      <c r="G5" s="287"/>
      <c r="H5" s="287"/>
      <c r="I5" s="287"/>
    </row>
    <row r="7" spans="1:9" ht="27.75" x14ac:dyDescent="0.2">
      <c r="A7" s="296" t="s">
        <v>20</v>
      </c>
      <c r="B7" s="296"/>
      <c r="C7" s="296"/>
      <c r="D7" s="296"/>
      <c r="E7" s="296"/>
      <c r="F7" s="296"/>
      <c r="G7" s="296"/>
      <c r="H7" s="296"/>
      <c r="I7" s="296"/>
    </row>
    <row r="9" spans="1:9" ht="27.75" x14ac:dyDescent="0.2">
      <c r="A9" s="296" t="s">
        <v>24</v>
      </c>
      <c r="B9" s="296"/>
      <c r="C9" s="296"/>
      <c r="D9" s="296"/>
      <c r="E9" s="296"/>
      <c r="F9" s="296"/>
      <c r="G9" s="296"/>
      <c r="H9" s="296"/>
      <c r="I9" s="296"/>
    </row>
    <row r="10" spans="1:9" ht="13.5" thickBot="1" x14ac:dyDescent="0.25"/>
    <row r="11" spans="1:9" ht="21.6" customHeight="1" x14ac:dyDescent="0.2">
      <c r="A11" s="60"/>
      <c r="B11" s="61"/>
      <c r="C11" s="61"/>
      <c r="D11" s="299" t="s">
        <v>16</v>
      </c>
      <c r="E11" s="299"/>
      <c r="F11" s="299" t="s">
        <v>66</v>
      </c>
      <c r="G11" s="299"/>
      <c r="H11" s="299" t="s">
        <v>17</v>
      </c>
      <c r="I11" s="300"/>
    </row>
    <row r="12" spans="1:9" ht="21.6" customHeight="1" x14ac:dyDescent="0.2">
      <c r="A12" s="62"/>
      <c r="B12" s="54"/>
      <c r="C12" s="54"/>
      <c r="D12" s="54" t="s">
        <v>14</v>
      </c>
      <c r="E12" s="54" t="s">
        <v>15</v>
      </c>
      <c r="F12" s="54" t="s">
        <v>14</v>
      </c>
      <c r="G12" s="54" t="s">
        <v>15</v>
      </c>
      <c r="H12" s="301" t="s">
        <v>14</v>
      </c>
      <c r="I12" s="302" t="s">
        <v>15</v>
      </c>
    </row>
    <row r="13" spans="1:9" ht="21.6" customHeight="1" x14ac:dyDescent="0.2">
      <c r="A13" s="62" t="s">
        <v>38</v>
      </c>
      <c r="B13" s="54" t="s">
        <v>100</v>
      </c>
      <c r="C13" s="54"/>
      <c r="D13" s="279" t="str">
        <f>+'SHEET-3'!D14:E14</f>
        <v>July-2022 to Sept-2022</v>
      </c>
      <c r="E13" s="279"/>
      <c r="F13" s="279" t="str">
        <f>+'SHEET-3'!F14:G14</f>
        <v>July-2021 to Sept-2021</v>
      </c>
      <c r="G13" s="279"/>
      <c r="H13" s="301"/>
      <c r="I13" s="302"/>
    </row>
    <row r="14" spans="1:9" ht="21.6" customHeight="1" x14ac:dyDescent="0.2">
      <c r="A14" s="64">
        <v>1</v>
      </c>
      <c r="B14" s="65" t="s">
        <v>4</v>
      </c>
      <c r="C14" s="66" t="s">
        <v>81</v>
      </c>
      <c r="D14" s="242">
        <f>2640+120</f>
        <v>2760</v>
      </c>
      <c r="E14" s="242">
        <f>D14</f>
        <v>2760</v>
      </c>
      <c r="F14" s="229">
        <f>2477+105</f>
        <v>2582</v>
      </c>
      <c r="G14" s="229">
        <f>F14</f>
        <v>2582</v>
      </c>
      <c r="H14" s="156">
        <f>(D14-F14)/F14</f>
        <v>6.8938807126258717E-2</v>
      </c>
      <c r="I14" s="157">
        <f>(E14-G14)/G14</f>
        <v>6.8938807126258717E-2</v>
      </c>
    </row>
    <row r="15" spans="1:9" ht="21.6" customHeight="1" x14ac:dyDescent="0.2">
      <c r="A15" s="64">
        <v>2</v>
      </c>
      <c r="B15" s="65" t="s">
        <v>101</v>
      </c>
      <c r="C15" s="66" t="s">
        <v>81</v>
      </c>
      <c r="D15" s="242">
        <v>0</v>
      </c>
      <c r="E15" s="242">
        <f t="shared" ref="E15:E16" si="0">D15</f>
        <v>0</v>
      </c>
      <c r="F15" s="229">
        <v>0</v>
      </c>
      <c r="G15" s="229">
        <f t="shared" ref="G15:G16" si="1">F15</f>
        <v>0</v>
      </c>
      <c r="H15" s="193" t="e">
        <f t="shared" ref="H15:H25" si="2">(D15-F15)/F15</f>
        <v>#DIV/0!</v>
      </c>
      <c r="I15" s="194" t="e">
        <f t="shared" ref="I15:I25" si="3">(E15-G15)/G15</f>
        <v>#DIV/0!</v>
      </c>
    </row>
    <row r="16" spans="1:9" ht="21.6" customHeight="1" x14ac:dyDescent="0.2">
      <c r="A16" s="64">
        <v>3</v>
      </c>
      <c r="B16" s="65" t="s">
        <v>7</v>
      </c>
      <c r="C16" s="66" t="s">
        <v>81</v>
      </c>
      <c r="D16" s="242">
        <v>0</v>
      </c>
      <c r="E16" s="242">
        <f t="shared" si="0"/>
        <v>0</v>
      </c>
      <c r="F16" s="229">
        <v>0</v>
      </c>
      <c r="G16" s="229">
        <f t="shared" si="1"/>
        <v>0</v>
      </c>
      <c r="H16" s="156">
        <v>0</v>
      </c>
      <c r="I16" s="157">
        <v>0</v>
      </c>
    </row>
    <row r="17" spans="1:14" ht="24" customHeight="1" x14ac:dyDescent="0.2">
      <c r="A17" s="64">
        <v>4</v>
      </c>
      <c r="B17" s="65" t="s">
        <v>8</v>
      </c>
      <c r="C17" s="66" t="s">
        <v>81</v>
      </c>
      <c r="D17" s="242">
        <f>SUM(D14:D16)</f>
        <v>2760</v>
      </c>
      <c r="E17" s="242">
        <f>SUM(E14:E16)</f>
        <v>2760</v>
      </c>
      <c r="F17" s="229">
        <f>SUM(F14:F16)</f>
        <v>2582</v>
      </c>
      <c r="G17" s="229">
        <f>SUM(G14:G16)</f>
        <v>2582</v>
      </c>
      <c r="H17" s="156">
        <f t="shared" si="2"/>
        <v>6.8938807126258717E-2</v>
      </c>
      <c r="I17" s="157">
        <f t="shared" si="3"/>
        <v>6.8938807126258717E-2</v>
      </c>
    </row>
    <row r="18" spans="1:14" ht="21.6" customHeight="1" x14ac:dyDescent="0.2">
      <c r="A18" s="64">
        <v>5</v>
      </c>
      <c r="B18" s="65" t="s">
        <v>2</v>
      </c>
      <c r="C18" s="66" t="s">
        <v>81</v>
      </c>
      <c r="D18" s="242">
        <v>2820031</v>
      </c>
      <c r="E18" s="242">
        <f>D18</f>
        <v>2820031</v>
      </c>
      <c r="F18" s="229">
        <v>2777091</v>
      </c>
      <c r="G18" s="229">
        <f>F18</f>
        <v>2777091</v>
      </c>
      <c r="H18" s="156">
        <f t="shared" si="2"/>
        <v>1.5462222879984848E-2</v>
      </c>
      <c r="I18" s="157">
        <f t="shared" si="3"/>
        <v>1.5462222879984848E-2</v>
      </c>
    </row>
    <row r="19" spans="1:14" ht="21.6" customHeight="1" x14ac:dyDescent="0.35">
      <c r="A19" s="64">
        <v>6</v>
      </c>
      <c r="B19" s="65" t="s">
        <v>3</v>
      </c>
      <c r="C19" s="66" t="s">
        <v>81</v>
      </c>
      <c r="D19" s="303">
        <f>34816+361981</f>
        <v>396797</v>
      </c>
      <c r="E19" s="303">
        <f>D19</f>
        <v>396797</v>
      </c>
      <c r="F19" s="294">
        <f>34199+350791</f>
        <v>384990</v>
      </c>
      <c r="G19" s="294">
        <f>F19</f>
        <v>384990</v>
      </c>
      <c r="H19" s="297">
        <f t="shared" si="2"/>
        <v>3.0668329047507728E-2</v>
      </c>
      <c r="I19" s="288">
        <f t="shared" si="3"/>
        <v>3.0668329047507728E-2</v>
      </c>
      <c r="M19" s="67"/>
      <c r="N19" s="68"/>
    </row>
    <row r="20" spans="1:14" ht="21.6" customHeight="1" x14ac:dyDescent="0.35">
      <c r="A20" s="64">
        <v>7</v>
      </c>
      <c r="B20" s="65" t="s">
        <v>1</v>
      </c>
      <c r="C20" s="66" t="s">
        <v>81</v>
      </c>
      <c r="D20" s="304"/>
      <c r="E20" s="304"/>
      <c r="F20" s="295"/>
      <c r="G20" s="295"/>
      <c r="H20" s="298"/>
      <c r="I20" s="289"/>
      <c r="M20" s="67"/>
      <c r="N20" s="68"/>
    </row>
    <row r="21" spans="1:14" ht="21.6" customHeight="1" x14ac:dyDescent="0.35">
      <c r="A21" s="64">
        <v>8</v>
      </c>
      <c r="B21" s="65" t="s">
        <v>119</v>
      </c>
      <c r="C21" s="66" t="s">
        <v>81</v>
      </c>
      <c r="D21" s="242">
        <v>26744</v>
      </c>
      <c r="E21" s="242">
        <f>D21</f>
        <v>26744</v>
      </c>
      <c r="F21" s="229">
        <v>25662</v>
      </c>
      <c r="G21" s="229">
        <f>F21</f>
        <v>25662</v>
      </c>
      <c r="H21" s="156">
        <f t="shared" si="2"/>
        <v>4.2163510248616629E-2</v>
      </c>
      <c r="I21" s="157">
        <f t="shared" si="3"/>
        <v>4.2163510248616629E-2</v>
      </c>
      <c r="M21" s="67"/>
      <c r="N21" s="68"/>
    </row>
    <row r="22" spans="1:14" ht="24" customHeight="1" x14ac:dyDescent="0.2">
      <c r="A22" s="64">
        <v>9</v>
      </c>
      <c r="B22" s="65" t="s">
        <v>10</v>
      </c>
      <c r="C22" s="66" t="s">
        <v>81</v>
      </c>
      <c r="D22" s="242">
        <f>+SUM(D18:D21)</f>
        <v>3243572</v>
      </c>
      <c r="E22" s="242">
        <f t="shared" ref="E22:E25" si="4">D22</f>
        <v>3243572</v>
      </c>
      <c r="F22" s="229">
        <f>+SUM(F18:F21)</f>
        <v>3187743</v>
      </c>
      <c r="G22" s="229">
        <f t="shared" ref="G22" si="5">F22</f>
        <v>3187743</v>
      </c>
      <c r="H22" s="156">
        <f t="shared" si="2"/>
        <v>1.7513645234261358E-2</v>
      </c>
      <c r="I22" s="157">
        <f t="shared" si="3"/>
        <v>1.7513645234261358E-2</v>
      </c>
    </row>
    <row r="23" spans="1:14" ht="21.6" customHeight="1" x14ac:dyDescent="0.35">
      <c r="A23" s="64">
        <v>10</v>
      </c>
      <c r="B23" s="65" t="s">
        <v>5</v>
      </c>
      <c r="C23" s="66" t="s">
        <v>81</v>
      </c>
      <c r="D23" s="242">
        <f>205168+10</f>
        <v>205178</v>
      </c>
      <c r="E23" s="242">
        <f>D23</f>
        <v>205178</v>
      </c>
      <c r="F23" s="229">
        <f>196425+10</f>
        <v>196435</v>
      </c>
      <c r="G23" s="229">
        <f>F23</f>
        <v>196435</v>
      </c>
      <c r="H23" s="156">
        <f t="shared" si="2"/>
        <v>4.4508361544531271E-2</v>
      </c>
      <c r="I23" s="157">
        <f t="shared" si="3"/>
        <v>4.4508361544531271E-2</v>
      </c>
      <c r="M23" s="67"/>
      <c r="N23" s="68"/>
    </row>
    <row r="24" spans="1:14" ht="24" customHeight="1" x14ac:dyDescent="0.35">
      <c r="A24" s="64">
        <v>11</v>
      </c>
      <c r="B24" s="65" t="s">
        <v>11</v>
      </c>
      <c r="C24" s="66" t="s">
        <v>81</v>
      </c>
      <c r="D24" s="242">
        <f>+D22+D23</f>
        <v>3448750</v>
      </c>
      <c r="E24" s="242">
        <f t="shared" si="4"/>
        <v>3448750</v>
      </c>
      <c r="F24" s="229">
        <f>+F22+F23</f>
        <v>3384178</v>
      </c>
      <c r="G24" s="229">
        <f t="shared" ref="G24:G25" si="6">F24</f>
        <v>3384178</v>
      </c>
      <c r="H24" s="156">
        <f t="shared" si="2"/>
        <v>1.9080556637387277E-2</v>
      </c>
      <c r="I24" s="157">
        <f t="shared" si="3"/>
        <v>1.9080556637387277E-2</v>
      </c>
      <c r="M24" s="67"/>
      <c r="N24" s="68"/>
    </row>
    <row r="25" spans="1:14" ht="31.5" customHeight="1" thickBot="1" x14ac:dyDescent="0.4">
      <c r="A25" s="69">
        <v>12</v>
      </c>
      <c r="B25" s="70" t="s">
        <v>104</v>
      </c>
      <c r="C25" s="71" t="s">
        <v>81</v>
      </c>
      <c r="D25" s="243">
        <f>+D17+D24</f>
        <v>3451510</v>
      </c>
      <c r="E25" s="243">
        <f t="shared" si="4"/>
        <v>3451510</v>
      </c>
      <c r="F25" s="221">
        <f>+F17+F24</f>
        <v>3386760</v>
      </c>
      <c r="G25" s="221">
        <f t="shared" si="6"/>
        <v>3386760</v>
      </c>
      <c r="H25" s="158">
        <f t="shared" si="2"/>
        <v>1.9118567598530749E-2</v>
      </c>
      <c r="I25" s="159">
        <f t="shared" si="3"/>
        <v>1.9118567598530749E-2</v>
      </c>
      <c r="M25" s="67"/>
      <c r="N25" s="68"/>
    </row>
    <row r="26" spans="1:14" ht="12" customHeight="1" x14ac:dyDescent="0.3">
      <c r="A26" s="114"/>
      <c r="B26" s="115"/>
      <c r="C26" s="116"/>
      <c r="D26" s="117"/>
      <c r="E26" s="117"/>
      <c r="F26" s="117"/>
      <c r="G26" s="117"/>
      <c r="H26" s="154"/>
      <c r="I26" s="155"/>
    </row>
    <row r="27" spans="1:14" ht="28.5" customHeight="1" x14ac:dyDescent="0.3">
      <c r="A27" s="118" t="s">
        <v>6</v>
      </c>
      <c r="B27" s="112" t="s">
        <v>44</v>
      </c>
      <c r="C27" s="116"/>
      <c r="D27" s="117"/>
      <c r="E27" s="117"/>
      <c r="F27" s="117"/>
      <c r="G27" s="117"/>
      <c r="H27" s="154"/>
      <c r="I27" s="155"/>
    </row>
    <row r="28" spans="1:14" ht="12" customHeight="1" thickBot="1" x14ac:dyDescent="0.35">
      <c r="A28" s="114"/>
      <c r="B28" s="115"/>
      <c r="C28" s="116"/>
      <c r="D28" s="117"/>
      <c r="E28" s="117"/>
      <c r="F28" s="117"/>
      <c r="G28" s="117"/>
      <c r="H28" s="154"/>
      <c r="I28" s="155"/>
    </row>
    <row r="29" spans="1:14" ht="21.6" customHeight="1" x14ac:dyDescent="0.2">
      <c r="A29" s="76">
        <v>1</v>
      </c>
      <c r="B29" s="77" t="s">
        <v>4</v>
      </c>
      <c r="C29" s="119" t="s">
        <v>23</v>
      </c>
      <c r="D29" s="184">
        <f>+E29-1370.164</f>
        <v>1385.644</v>
      </c>
      <c r="E29" s="56">
        <v>2755.808</v>
      </c>
      <c r="F29" s="184">
        <f>+G29-987.022</f>
        <v>1482.0520000000001</v>
      </c>
      <c r="G29" s="56">
        <v>2469.0740000000001</v>
      </c>
      <c r="H29" s="182">
        <f>(D29-F29)/F29</f>
        <v>-6.5050349110557612E-2</v>
      </c>
      <c r="I29" s="183">
        <f>(E29-G29)/G29</f>
        <v>0.11613017673832372</v>
      </c>
    </row>
    <row r="30" spans="1:14" ht="21.6" customHeight="1" x14ac:dyDescent="0.2">
      <c r="A30" s="64">
        <v>2</v>
      </c>
      <c r="B30" s="65" t="s">
        <v>101</v>
      </c>
      <c r="C30" s="66" t="s">
        <v>23</v>
      </c>
      <c r="D30" s="185">
        <v>0</v>
      </c>
      <c r="E30" s="168">
        <f>+D30</f>
        <v>0</v>
      </c>
      <c r="F30" s="185">
        <v>0</v>
      </c>
      <c r="G30" s="236">
        <f>+F30</f>
        <v>0</v>
      </c>
      <c r="H30" s="193" t="e">
        <f t="shared" ref="H30:H40" si="7">(D30-F30)/F30</f>
        <v>#DIV/0!</v>
      </c>
      <c r="I30" s="194" t="e">
        <f t="shared" ref="I30:I40" si="8">(E30-G30)/G30</f>
        <v>#DIV/0!</v>
      </c>
    </row>
    <row r="31" spans="1:14" ht="21.6" customHeight="1" x14ac:dyDescent="0.2">
      <c r="A31" s="64">
        <v>3</v>
      </c>
      <c r="B31" s="65" t="s">
        <v>7</v>
      </c>
      <c r="C31" s="66" t="s">
        <v>23</v>
      </c>
      <c r="D31" s="185">
        <v>0</v>
      </c>
      <c r="E31" s="168">
        <v>0</v>
      </c>
      <c r="F31" s="185">
        <v>0</v>
      </c>
      <c r="G31" s="236">
        <v>0</v>
      </c>
      <c r="H31" s="156">
        <v>0</v>
      </c>
      <c r="I31" s="157">
        <v>0</v>
      </c>
    </row>
    <row r="32" spans="1:14" ht="24" customHeight="1" x14ac:dyDescent="0.35">
      <c r="A32" s="64">
        <v>4</v>
      </c>
      <c r="B32" s="65" t="s">
        <v>8</v>
      </c>
      <c r="C32" s="66" t="s">
        <v>23</v>
      </c>
      <c r="D32" s="185">
        <f>D29+D30</f>
        <v>1385.644</v>
      </c>
      <c r="E32" s="168">
        <f>E29+E30</f>
        <v>2755.808</v>
      </c>
      <c r="F32" s="185">
        <f>F29+F30</f>
        <v>1482.0520000000001</v>
      </c>
      <c r="G32" s="236">
        <f>G29+G30</f>
        <v>2469.0740000000001</v>
      </c>
      <c r="H32" s="156">
        <f t="shared" si="7"/>
        <v>-6.5050349110557612E-2</v>
      </c>
      <c r="I32" s="157">
        <f t="shared" si="8"/>
        <v>0.11613017673832372</v>
      </c>
      <c r="M32" s="67"/>
      <c r="N32" s="68"/>
    </row>
    <row r="33" spans="1:14" ht="21.6" customHeight="1" x14ac:dyDescent="0.35">
      <c r="A33" s="64">
        <v>5</v>
      </c>
      <c r="B33" s="65" t="s">
        <v>2</v>
      </c>
      <c r="C33" s="66" t="s">
        <v>23</v>
      </c>
      <c r="D33" s="185">
        <f>+E33-964.609</f>
        <v>831.399</v>
      </c>
      <c r="E33" s="168">
        <v>1796.008</v>
      </c>
      <c r="F33" s="185">
        <f>+G33-893.234</f>
        <v>827.12800000000004</v>
      </c>
      <c r="G33" s="240">
        <v>1720.3620000000001</v>
      </c>
      <c r="H33" s="156">
        <f t="shared" si="7"/>
        <v>5.163650607886516E-3</v>
      </c>
      <c r="I33" s="157">
        <f t="shared" si="8"/>
        <v>4.3970978201099513E-2</v>
      </c>
      <c r="M33" s="67"/>
      <c r="N33" s="68"/>
    </row>
    <row r="34" spans="1:14" ht="21.6" customHeight="1" x14ac:dyDescent="0.35">
      <c r="A34" s="64">
        <v>6</v>
      </c>
      <c r="B34" s="65" t="s">
        <v>3</v>
      </c>
      <c r="C34" s="66" t="s">
        <v>23</v>
      </c>
      <c r="D34" s="290">
        <f>+E34-581.424</f>
        <v>497.10899999999992</v>
      </c>
      <c r="E34" s="264">
        <v>1078.5329999999999</v>
      </c>
      <c r="F34" s="290">
        <f>+G34-473.095</f>
        <v>479.70100000000002</v>
      </c>
      <c r="G34" s="264">
        <v>952.79600000000005</v>
      </c>
      <c r="H34" s="292">
        <f t="shared" si="7"/>
        <v>3.6289271858928586E-2</v>
      </c>
      <c r="I34" s="288">
        <f t="shared" si="8"/>
        <v>0.13196633906943339</v>
      </c>
      <c r="M34" s="67"/>
      <c r="N34" s="68"/>
    </row>
    <row r="35" spans="1:14" ht="21.6" customHeight="1" x14ac:dyDescent="0.2">
      <c r="A35" s="64">
        <v>7</v>
      </c>
      <c r="B35" s="65" t="s">
        <v>1</v>
      </c>
      <c r="C35" s="66" t="s">
        <v>23</v>
      </c>
      <c r="D35" s="291"/>
      <c r="E35" s="265"/>
      <c r="F35" s="291"/>
      <c r="G35" s="265"/>
      <c r="H35" s="293"/>
      <c r="I35" s="289"/>
    </row>
    <row r="36" spans="1:14" ht="21.6" customHeight="1" x14ac:dyDescent="0.2">
      <c r="A36" s="64">
        <v>8</v>
      </c>
      <c r="B36" s="65" t="s">
        <v>119</v>
      </c>
      <c r="C36" s="66" t="s">
        <v>23</v>
      </c>
      <c r="D36" s="185">
        <f>+E36-104.231</f>
        <v>96.031000000000006</v>
      </c>
      <c r="E36" s="168">
        <v>200.262</v>
      </c>
      <c r="F36" s="185">
        <f>+G36-105.867</f>
        <v>84.191999999999993</v>
      </c>
      <c r="G36" s="240">
        <v>190.059</v>
      </c>
      <c r="H36" s="156">
        <f t="shared" si="7"/>
        <v>0.14061906119346274</v>
      </c>
      <c r="I36" s="157">
        <f t="shared" si="8"/>
        <v>5.3683329913342716E-2</v>
      </c>
    </row>
    <row r="37" spans="1:14" ht="24" customHeight="1" x14ac:dyDescent="0.35">
      <c r="A37" s="64">
        <v>9</v>
      </c>
      <c r="B37" s="65" t="s">
        <v>10</v>
      </c>
      <c r="C37" s="66" t="s">
        <v>23</v>
      </c>
      <c r="D37" s="185">
        <f>SUM(D33:D36)</f>
        <v>1424.5389999999998</v>
      </c>
      <c r="E37" s="168">
        <f>SUM(E33:E36)</f>
        <v>3074.8030000000003</v>
      </c>
      <c r="F37" s="185">
        <f>SUM(F33:F36)</f>
        <v>1391.0210000000002</v>
      </c>
      <c r="G37" s="236">
        <f>SUM(G33:G36)</f>
        <v>2863.2170000000006</v>
      </c>
      <c r="H37" s="156">
        <f t="shared" si="7"/>
        <v>2.4095969794848224E-2</v>
      </c>
      <c r="I37" s="157">
        <f t="shared" si="8"/>
        <v>7.3897996554225451E-2</v>
      </c>
      <c r="M37" s="67"/>
      <c r="N37" s="68"/>
    </row>
    <row r="38" spans="1:14" ht="21.6" customHeight="1" x14ac:dyDescent="0.35">
      <c r="A38" s="64">
        <v>10</v>
      </c>
      <c r="B38" s="65" t="s">
        <v>102</v>
      </c>
      <c r="C38" s="66" t="s">
        <v>23</v>
      </c>
      <c r="D38" s="185">
        <f>+E38-393.612</f>
        <v>365.233</v>
      </c>
      <c r="E38" s="168">
        <v>758.84500000000003</v>
      </c>
      <c r="F38" s="185">
        <f>+G38-326.037</f>
        <v>201.04000000000002</v>
      </c>
      <c r="G38" s="240">
        <v>527.077</v>
      </c>
      <c r="H38" s="156">
        <f t="shared" si="7"/>
        <v>0.81671806605650599</v>
      </c>
      <c r="I38" s="157">
        <f t="shared" si="8"/>
        <v>0.43972322829491711</v>
      </c>
      <c r="M38" s="67"/>
      <c r="N38" s="68"/>
    </row>
    <row r="39" spans="1:14" ht="24" customHeight="1" x14ac:dyDescent="0.35">
      <c r="A39" s="64">
        <v>11</v>
      </c>
      <c r="B39" s="65" t="s">
        <v>11</v>
      </c>
      <c r="C39" s="66" t="s">
        <v>23</v>
      </c>
      <c r="D39" s="185">
        <f>SUM(D37:D38)</f>
        <v>1789.7719999999997</v>
      </c>
      <c r="E39" s="168">
        <f>SUM(E37:E38)</f>
        <v>3833.6480000000001</v>
      </c>
      <c r="F39" s="185">
        <f>SUM(F37:F38)</f>
        <v>1592.0610000000001</v>
      </c>
      <c r="G39" s="236">
        <f>SUM(G37:G38)</f>
        <v>3390.2940000000008</v>
      </c>
      <c r="H39" s="156">
        <f t="shared" si="7"/>
        <v>0.12418556826654226</v>
      </c>
      <c r="I39" s="157">
        <f t="shared" si="8"/>
        <v>0.13077154960602214</v>
      </c>
      <c r="M39" s="67"/>
      <c r="N39" s="68"/>
    </row>
    <row r="40" spans="1:14" ht="31.5" customHeight="1" thickBot="1" x14ac:dyDescent="0.25">
      <c r="A40" s="69">
        <v>12</v>
      </c>
      <c r="B40" s="70" t="s">
        <v>12</v>
      </c>
      <c r="C40" s="71" t="s">
        <v>23</v>
      </c>
      <c r="D40" s="186">
        <f>D32+D39</f>
        <v>3175.4159999999997</v>
      </c>
      <c r="E40" s="57">
        <f>E32+E39</f>
        <v>6589.4560000000001</v>
      </c>
      <c r="F40" s="186">
        <f>F32+F39</f>
        <v>3074.1130000000003</v>
      </c>
      <c r="G40" s="57">
        <f>G32+G39</f>
        <v>5859.3680000000004</v>
      </c>
      <c r="H40" s="158">
        <f t="shared" si="7"/>
        <v>3.2953570672255517E-2</v>
      </c>
      <c r="I40" s="159">
        <f t="shared" si="8"/>
        <v>0.12460183419099119</v>
      </c>
    </row>
    <row r="41" spans="1:14" x14ac:dyDescent="0.2">
      <c r="D41" s="136"/>
      <c r="E41" s="136"/>
      <c r="H41" s="136"/>
      <c r="I41" s="136"/>
    </row>
    <row r="43" spans="1:14" ht="12.75" customHeight="1" x14ac:dyDescent="0.2">
      <c r="A43" s="267"/>
      <c r="B43" s="267"/>
    </row>
    <row r="52" spans="4:6" ht="23.25" x14ac:dyDescent="0.35">
      <c r="D52" s="120">
        <v>1639.71</v>
      </c>
      <c r="E52" s="120">
        <v>5096.3599999999997</v>
      </c>
    </row>
    <row r="57" spans="4:6" ht="26.25" x14ac:dyDescent="0.4">
      <c r="D57" s="83">
        <v>335.74</v>
      </c>
      <c r="E57" s="83">
        <v>335.74</v>
      </c>
      <c r="F57" s="121">
        <f>D40-D52</f>
        <v>1535.7059999999997</v>
      </c>
    </row>
    <row r="58" spans="4:6" ht="26.25" x14ac:dyDescent="0.4">
      <c r="D58" s="83">
        <v>346.72</v>
      </c>
      <c r="E58" s="83">
        <v>346.72</v>
      </c>
      <c r="F58" s="121">
        <f>E40-E52</f>
        <v>1493.0960000000005</v>
      </c>
    </row>
    <row r="59" spans="4:6" ht="26.25" x14ac:dyDescent="0.4">
      <c r="D59" s="83">
        <f>SUM(D57:D58)</f>
        <v>682.46</v>
      </c>
      <c r="E59" s="83">
        <f>SUM(E57:E58)</f>
        <v>682.46</v>
      </c>
    </row>
    <row r="64" spans="4:6" ht="20.100000000000001" customHeight="1" x14ac:dyDescent="0.25">
      <c r="D64" s="122" t="s">
        <v>219</v>
      </c>
      <c r="E64" s="122" t="s">
        <v>220</v>
      </c>
    </row>
    <row r="65" spans="3:6" ht="20.100000000000001" customHeight="1" x14ac:dyDescent="0.25">
      <c r="C65" s="123" t="s">
        <v>221</v>
      </c>
      <c r="D65" s="124">
        <v>153.19999999999999</v>
      </c>
      <c r="E65" s="124">
        <v>171.66</v>
      </c>
      <c r="F65" s="125">
        <f>(D65-E65)/E65</f>
        <v>-0.1075381568216242</v>
      </c>
    </row>
    <row r="66" spans="3:6" ht="20.100000000000001" customHeight="1" x14ac:dyDescent="0.25">
      <c r="C66" s="123" t="s">
        <v>222</v>
      </c>
      <c r="D66" s="124">
        <v>136.37</v>
      </c>
      <c r="E66" s="124">
        <v>136.62</v>
      </c>
      <c r="F66" s="125">
        <f>(D66-E66)/E66</f>
        <v>-1.8298931342409603E-3</v>
      </c>
    </row>
    <row r="67" spans="3:6" ht="20.100000000000001" customHeight="1" x14ac:dyDescent="0.25">
      <c r="C67" s="123"/>
      <c r="D67" s="124">
        <f>SUM(D65:D66)</f>
        <v>289.57</v>
      </c>
      <c r="E67" s="124">
        <f>SUM(E65:E66)</f>
        <v>308.27999999999997</v>
      </c>
      <c r="F67" s="125">
        <f>(D67-E67)/E67</f>
        <v>-6.0691579083949593E-2</v>
      </c>
    </row>
    <row r="68" spans="3:6" ht="20.100000000000001" customHeight="1" x14ac:dyDescent="0.2"/>
  </sheetData>
  <mergeCells count="23">
    <mergeCell ref="A43:B43"/>
    <mergeCell ref="H11:I11"/>
    <mergeCell ref="H12:H13"/>
    <mergeCell ref="I12:I13"/>
    <mergeCell ref="D13:E13"/>
    <mergeCell ref="D11:E11"/>
    <mergeCell ref="E19:E20"/>
    <mergeCell ref="D19:D20"/>
    <mergeCell ref="A5:I5"/>
    <mergeCell ref="I19:I20"/>
    <mergeCell ref="D34:D35"/>
    <mergeCell ref="E34:E35"/>
    <mergeCell ref="H34:H35"/>
    <mergeCell ref="I34:I35"/>
    <mergeCell ref="G34:G35"/>
    <mergeCell ref="F19:F20"/>
    <mergeCell ref="G19:G20"/>
    <mergeCell ref="A9:I9"/>
    <mergeCell ref="A7:I7"/>
    <mergeCell ref="F34:F35"/>
    <mergeCell ref="H19:H20"/>
    <mergeCell ref="F11:G11"/>
    <mergeCell ref="F13:G13"/>
  </mergeCells>
  <phoneticPr fontId="2" type="noConversion"/>
  <printOptions horizontalCentered="1" verticalCentered="1"/>
  <pageMargins left="0.25" right="0.25" top="0.67500000000000004" bottom="0.25" header="0.5" footer="0.5"/>
  <pageSetup scale="55"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R57"/>
  <sheetViews>
    <sheetView view="pageBreakPreview" topLeftCell="A18" zoomScale="69" zoomScaleNormal="50" zoomScaleSheetLayoutView="69" workbookViewId="0">
      <selection activeCell="D29" sqref="D29"/>
    </sheetView>
  </sheetViews>
  <sheetFormatPr defaultRowHeight="12.75" x14ac:dyDescent="0.2"/>
  <cols>
    <col min="1" max="1" width="8" style="58" customWidth="1"/>
    <col min="2" max="2" width="80.140625" style="58" customWidth="1"/>
    <col min="3" max="3" width="23.28515625" style="58" customWidth="1"/>
    <col min="4" max="4" width="22.42578125" style="58" customWidth="1"/>
    <col min="5" max="5" width="23.28515625" style="58" customWidth="1"/>
    <col min="6" max="6" width="23.85546875" style="58" customWidth="1"/>
    <col min="7" max="7" width="23.42578125" style="58" customWidth="1"/>
    <col min="8" max="8" width="19.28515625" style="58" bestFit="1" customWidth="1"/>
    <col min="9" max="9" width="21" style="58" customWidth="1"/>
    <col min="10" max="10" width="12.5703125" style="58" bestFit="1" customWidth="1"/>
    <col min="11" max="11" width="17.85546875" style="58" bestFit="1" customWidth="1"/>
    <col min="12" max="12" width="14.7109375" style="58" bestFit="1" customWidth="1"/>
    <col min="13" max="13" width="9.140625" style="58"/>
    <col min="14" max="14" width="27.42578125" style="58" customWidth="1"/>
    <col min="15" max="15" width="24.5703125" style="58" customWidth="1"/>
    <col min="16" max="16" width="33.7109375" style="58" bestFit="1" customWidth="1"/>
    <col min="17" max="17" width="9.140625" style="58"/>
    <col min="18" max="18" width="33.42578125" style="58" customWidth="1"/>
    <col min="19" max="16384" width="9.140625" style="58"/>
  </cols>
  <sheetData>
    <row r="2" spans="1:13" ht="33" x14ac:dyDescent="0.2">
      <c r="I2" s="59" t="s">
        <v>22</v>
      </c>
    </row>
    <row r="5" spans="1:13" ht="30" x14ac:dyDescent="0.45">
      <c r="A5" s="287" t="s">
        <v>0</v>
      </c>
      <c r="B5" s="287"/>
      <c r="C5" s="287"/>
      <c r="D5" s="287"/>
      <c r="E5" s="287"/>
      <c r="F5" s="287"/>
      <c r="G5" s="287"/>
      <c r="H5" s="287"/>
      <c r="I5" s="287"/>
    </row>
    <row r="7" spans="1:13" ht="27.75" x14ac:dyDescent="0.3">
      <c r="A7" s="296" t="s">
        <v>20</v>
      </c>
      <c r="B7" s="296"/>
      <c r="C7" s="296"/>
      <c r="D7" s="296"/>
      <c r="E7" s="296"/>
      <c r="F7" s="296"/>
      <c r="G7" s="296"/>
      <c r="H7" s="296"/>
      <c r="I7" s="296"/>
      <c r="J7" s="233"/>
      <c r="K7" s="233"/>
      <c r="L7" s="232"/>
      <c r="M7" s="123"/>
    </row>
    <row r="9" spans="1:13" ht="27.75" x14ac:dyDescent="0.2">
      <c r="A9" s="296" t="s">
        <v>19</v>
      </c>
      <c r="B9" s="296"/>
      <c r="C9" s="296"/>
      <c r="D9" s="296"/>
      <c r="E9" s="296"/>
      <c r="F9" s="296"/>
      <c r="G9" s="296"/>
      <c r="H9" s="296"/>
      <c r="I9" s="296"/>
    </row>
    <row r="10" spans="1:13" ht="13.5" thickBot="1" x14ac:dyDescent="0.25"/>
    <row r="11" spans="1:13" ht="21.6" customHeight="1" x14ac:dyDescent="0.2">
      <c r="A11" s="60"/>
      <c r="B11" s="61"/>
      <c r="C11" s="61"/>
      <c r="D11" s="299" t="s">
        <v>16</v>
      </c>
      <c r="E11" s="299"/>
      <c r="F11" s="299" t="s">
        <v>83</v>
      </c>
      <c r="G11" s="299"/>
      <c r="H11" s="299" t="s">
        <v>17</v>
      </c>
      <c r="I11" s="300"/>
    </row>
    <row r="12" spans="1:13" ht="21.6" customHeight="1" x14ac:dyDescent="0.2">
      <c r="A12" s="62"/>
      <c r="B12" s="54"/>
      <c r="C12" s="54"/>
      <c r="D12" s="54" t="s">
        <v>14</v>
      </c>
      <c r="E12" s="54" t="s">
        <v>15</v>
      </c>
      <c r="F12" s="54" t="s">
        <v>14</v>
      </c>
      <c r="G12" s="54" t="s">
        <v>15</v>
      </c>
      <c r="H12" s="301" t="s">
        <v>14</v>
      </c>
      <c r="I12" s="302" t="s">
        <v>15</v>
      </c>
    </row>
    <row r="13" spans="1:13" ht="21.6" customHeight="1" x14ac:dyDescent="0.2">
      <c r="A13" s="62" t="s">
        <v>45</v>
      </c>
      <c r="B13" s="63" t="s">
        <v>121</v>
      </c>
      <c r="C13" s="54"/>
      <c r="D13" s="279" t="str">
        <f>+'SHEET-4'!D13:E13</f>
        <v>July-2022 to Sept-2022</v>
      </c>
      <c r="E13" s="279"/>
      <c r="F13" s="279" t="str">
        <f>+'SHEET-4'!F13:G13</f>
        <v>July-2021 to Sept-2021</v>
      </c>
      <c r="G13" s="279"/>
      <c r="H13" s="301"/>
      <c r="I13" s="302"/>
    </row>
    <row r="14" spans="1:13" ht="21.6" customHeight="1" x14ac:dyDescent="0.2">
      <c r="A14" s="64">
        <v>1</v>
      </c>
      <c r="B14" s="65" t="s">
        <v>4</v>
      </c>
      <c r="C14" s="66" t="s">
        <v>13</v>
      </c>
      <c r="D14" s="168">
        <f>+E14-907.41</f>
        <v>1251.2200000000003</v>
      </c>
      <c r="E14" s="168">
        <v>2158.63</v>
      </c>
      <c r="F14" s="240">
        <f>+G14-698.04</f>
        <v>902.32999999999993</v>
      </c>
      <c r="G14" s="240">
        <v>1600.37</v>
      </c>
      <c r="H14" s="156">
        <f>(D14-F14)/F14</f>
        <v>0.38665454988751385</v>
      </c>
      <c r="I14" s="157">
        <f>(E14-G14)/G14</f>
        <v>0.34883183263870243</v>
      </c>
    </row>
    <row r="15" spans="1:13" ht="21.6" customHeight="1" x14ac:dyDescent="0.2">
      <c r="A15" s="64">
        <v>2</v>
      </c>
      <c r="B15" s="65" t="s">
        <v>82</v>
      </c>
      <c r="C15" s="66" t="s">
        <v>13</v>
      </c>
      <c r="D15" s="168">
        <v>0</v>
      </c>
      <c r="E15" s="168">
        <v>0</v>
      </c>
      <c r="F15" s="236">
        <v>0</v>
      </c>
      <c r="G15" s="236">
        <v>0</v>
      </c>
      <c r="H15" s="193" t="e">
        <f t="shared" ref="H15:I25" si="0">(D15-F15)/F15</f>
        <v>#DIV/0!</v>
      </c>
      <c r="I15" s="194" t="e">
        <f t="shared" si="0"/>
        <v>#DIV/0!</v>
      </c>
    </row>
    <row r="16" spans="1:13" ht="21.6" customHeight="1" x14ac:dyDescent="0.2">
      <c r="A16" s="64">
        <v>3</v>
      </c>
      <c r="B16" s="65" t="s">
        <v>7</v>
      </c>
      <c r="C16" s="66" t="s">
        <v>13</v>
      </c>
      <c r="D16" s="168">
        <v>0</v>
      </c>
      <c r="E16" s="168">
        <v>0</v>
      </c>
      <c r="F16" s="236">
        <v>0</v>
      </c>
      <c r="G16" s="236">
        <v>0</v>
      </c>
      <c r="H16" s="156">
        <v>0</v>
      </c>
      <c r="I16" s="157">
        <v>0</v>
      </c>
    </row>
    <row r="17" spans="1:18" ht="24" customHeight="1" x14ac:dyDescent="0.2">
      <c r="A17" s="64">
        <v>4</v>
      </c>
      <c r="B17" s="65" t="s">
        <v>8</v>
      </c>
      <c r="C17" s="66" t="s">
        <v>13</v>
      </c>
      <c r="D17" s="168">
        <f>SUM(D14:D16)</f>
        <v>1251.2200000000003</v>
      </c>
      <c r="E17" s="168">
        <f>SUM(E14:E16)</f>
        <v>2158.63</v>
      </c>
      <c r="F17" s="236">
        <f>SUM(F14:F16)</f>
        <v>902.32999999999993</v>
      </c>
      <c r="G17" s="236">
        <f>SUM(G14:G16)</f>
        <v>1600.37</v>
      </c>
      <c r="H17" s="156">
        <f t="shared" si="0"/>
        <v>0.38665454988751385</v>
      </c>
      <c r="I17" s="157">
        <f t="shared" si="0"/>
        <v>0.34883183263870243</v>
      </c>
    </row>
    <row r="18" spans="1:18" ht="21.6" customHeight="1" x14ac:dyDescent="0.35">
      <c r="A18" s="64">
        <v>5</v>
      </c>
      <c r="B18" s="65" t="s">
        <v>2</v>
      </c>
      <c r="C18" s="66" t="s">
        <v>13</v>
      </c>
      <c r="D18" s="168">
        <f>+E18-603.91</f>
        <v>417.99</v>
      </c>
      <c r="E18" s="168">
        <v>1021.9</v>
      </c>
      <c r="F18" s="240">
        <f>+G18-499.04</f>
        <v>460.72999999999996</v>
      </c>
      <c r="G18" s="240">
        <v>959.77</v>
      </c>
      <c r="H18" s="156">
        <f t="shared" si="0"/>
        <v>-9.2765828142295823E-2</v>
      </c>
      <c r="I18" s="157">
        <f t="shared" si="0"/>
        <v>6.4734259249611889E-2</v>
      </c>
      <c r="O18" s="67"/>
      <c r="P18" s="68"/>
    </row>
    <row r="19" spans="1:18" ht="21.6" customHeight="1" x14ac:dyDescent="0.35">
      <c r="A19" s="64">
        <v>6</v>
      </c>
      <c r="B19" s="65" t="s">
        <v>3</v>
      </c>
      <c r="C19" s="66" t="s">
        <v>13</v>
      </c>
      <c r="D19" s="264">
        <f>+E19-468.62</f>
        <v>397.73</v>
      </c>
      <c r="E19" s="264">
        <v>866.35</v>
      </c>
      <c r="F19" s="264">
        <f>+G19-359.02</f>
        <v>347.88</v>
      </c>
      <c r="G19" s="264">
        <v>706.9</v>
      </c>
      <c r="H19" s="297">
        <f t="shared" si="0"/>
        <v>0.14329653903644943</v>
      </c>
      <c r="I19" s="288">
        <f t="shared" si="0"/>
        <v>0.22556231433017407</v>
      </c>
      <c r="O19" s="67"/>
      <c r="P19" s="68"/>
    </row>
    <row r="20" spans="1:18" ht="21.6" customHeight="1" x14ac:dyDescent="0.35">
      <c r="A20" s="64">
        <v>7</v>
      </c>
      <c r="B20" s="65" t="s">
        <v>1</v>
      </c>
      <c r="C20" s="66" t="s">
        <v>13</v>
      </c>
      <c r="D20" s="265"/>
      <c r="E20" s="265"/>
      <c r="F20" s="265"/>
      <c r="G20" s="265"/>
      <c r="H20" s="298"/>
      <c r="I20" s="289"/>
      <c r="O20" s="67"/>
      <c r="P20" s="68"/>
    </row>
    <row r="21" spans="1:18" ht="21.6" customHeight="1" x14ac:dyDescent="0.2">
      <c r="A21" s="64">
        <v>8</v>
      </c>
      <c r="B21" s="65" t="s">
        <v>119</v>
      </c>
      <c r="C21" s="66" t="s">
        <v>13</v>
      </c>
      <c r="D21" s="168">
        <f>+E21-67.81</f>
        <v>74.109999999999985</v>
      </c>
      <c r="E21" s="168">
        <v>141.91999999999999</v>
      </c>
      <c r="F21" s="240">
        <f>+G21-65.55</f>
        <v>57.120000000000005</v>
      </c>
      <c r="G21" s="240">
        <v>122.67</v>
      </c>
      <c r="H21" s="156">
        <f t="shared" si="0"/>
        <v>0.29744397759103608</v>
      </c>
      <c r="I21" s="157">
        <f t="shared" si="0"/>
        <v>0.15692508355751192</v>
      </c>
    </row>
    <row r="22" spans="1:18" ht="24" customHeight="1" x14ac:dyDescent="0.35">
      <c r="A22" s="64">
        <v>9</v>
      </c>
      <c r="B22" s="65" t="s">
        <v>10</v>
      </c>
      <c r="C22" s="66" t="s">
        <v>13</v>
      </c>
      <c r="D22" s="168">
        <f>SUM(D18:D21)</f>
        <v>889.83</v>
      </c>
      <c r="E22" s="168">
        <f>SUM(E18:E21)</f>
        <v>2030.17</v>
      </c>
      <c r="F22" s="236">
        <f>SUM(F18:F21)</f>
        <v>865.7299999999999</v>
      </c>
      <c r="G22" s="236">
        <f>SUM(G18:G21)</f>
        <v>1789.3400000000001</v>
      </c>
      <c r="H22" s="156">
        <f t="shared" si="0"/>
        <v>2.7837778522172202E-2</v>
      </c>
      <c r="I22" s="157">
        <f t="shared" si="0"/>
        <v>0.134591525366895</v>
      </c>
      <c r="O22" s="67"/>
      <c r="P22" s="68"/>
    </row>
    <row r="23" spans="1:18" ht="21.6" customHeight="1" x14ac:dyDescent="0.35">
      <c r="A23" s="64">
        <v>10</v>
      </c>
      <c r="B23" s="65" t="s">
        <v>108</v>
      </c>
      <c r="C23" s="66" t="s">
        <v>13</v>
      </c>
      <c r="D23" s="168">
        <f>+E23-138.39</f>
        <v>82.570000000000022</v>
      </c>
      <c r="E23" s="168">
        <v>220.96</v>
      </c>
      <c r="F23" s="240">
        <f>+G23-98.04</f>
        <v>74.959999999999994</v>
      </c>
      <c r="G23" s="240">
        <v>173</v>
      </c>
      <c r="H23" s="156">
        <f t="shared" si="0"/>
        <v>0.10152081109925332</v>
      </c>
      <c r="I23" s="157">
        <f t="shared" si="0"/>
        <v>0.27722543352601159</v>
      </c>
      <c r="O23" s="67"/>
      <c r="P23" s="68"/>
    </row>
    <row r="24" spans="1:18" ht="24" customHeight="1" x14ac:dyDescent="0.35">
      <c r="A24" s="64">
        <v>11</v>
      </c>
      <c r="B24" s="65" t="s">
        <v>11</v>
      </c>
      <c r="C24" s="66" t="s">
        <v>13</v>
      </c>
      <c r="D24" s="168">
        <f>SUM(D22:D23)</f>
        <v>972.40000000000009</v>
      </c>
      <c r="E24" s="216">
        <f>SUM(E22:E23)</f>
        <v>2251.13</v>
      </c>
      <c r="F24" s="236">
        <f>SUM(F22:F23)</f>
        <v>940.68999999999994</v>
      </c>
      <c r="G24" s="236">
        <f>SUM(G22:G23)</f>
        <v>1962.3400000000001</v>
      </c>
      <c r="H24" s="156">
        <f t="shared" si="0"/>
        <v>3.3709298493659071E-2</v>
      </c>
      <c r="I24" s="157">
        <f t="shared" si="0"/>
        <v>0.14716613838580467</v>
      </c>
      <c r="O24" s="67"/>
      <c r="P24" s="68"/>
    </row>
    <row r="25" spans="1:18" ht="31.5" customHeight="1" thickBot="1" x14ac:dyDescent="0.25">
      <c r="A25" s="69">
        <v>12</v>
      </c>
      <c r="B25" s="70" t="s">
        <v>12</v>
      </c>
      <c r="C25" s="71" t="s">
        <v>13</v>
      </c>
      <c r="D25" s="57">
        <f>D17+D24</f>
        <v>2223.6200000000003</v>
      </c>
      <c r="E25" s="57">
        <f>E17+E24</f>
        <v>4409.76</v>
      </c>
      <c r="F25" s="57">
        <f>F17+F24</f>
        <v>1843.02</v>
      </c>
      <c r="G25" s="57">
        <f>G17+G24</f>
        <v>3562.71</v>
      </c>
      <c r="H25" s="158">
        <f t="shared" si="0"/>
        <v>0.20650888216080149</v>
      </c>
      <c r="I25" s="159">
        <f t="shared" si="0"/>
        <v>0.2377544060560641</v>
      </c>
      <c r="K25" s="235"/>
    </row>
    <row r="26" spans="1:18" ht="15" customHeight="1" x14ac:dyDescent="0.3">
      <c r="A26" s="55"/>
      <c r="B26" s="72"/>
      <c r="C26" s="73"/>
      <c r="D26" s="137"/>
      <c r="E26" s="254"/>
      <c r="F26" s="55"/>
      <c r="G26" s="55"/>
      <c r="H26" s="137"/>
      <c r="I26" s="137"/>
    </row>
    <row r="27" spans="1:18" ht="28.5" customHeight="1" x14ac:dyDescent="0.3">
      <c r="A27" s="74" t="s">
        <v>46</v>
      </c>
      <c r="B27" s="75" t="s">
        <v>18</v>
      </c>
      <c r="C27" s="73"/>
      <c r="D27" s="255">
        <f>+D25-'SHEET-1'!D34</f>
        <v>0</v>
      </c>
      <c r="E27" s="255">
        <f>+E25-'SHEET-1'!E34</f>
        <v>0</v>
      </c>
      <c r="F27" s="55"/>
      <c r="G27" s="55"/>
      <c r="H27" s="137"/>
      <c r="I27" s="137"/>
    </row>
    <row r="28" spans="1:18" ht="15" customHeight="1" thickBot="1" x14ac:dyDescent="0.35">
      <c r="A28" s="55"/>
      <c r="B28" s="72"/>
      <c r="C28" s="73"/>
      <c r="D28" s="55"/>
      <c r="E28" s="55"/>
      <c r="F28" s="55"/>
      <c r="G28" s="55"/>
      <c r="H28" s="137"/>
      <c r="I28" s="137"/>
    </row>
    <row r="29" spans="1:18" ht="21.6" customHeight="1" x14ac:dyDescent="0.4">
      <c r="A29" s="76">
        <v>1</v>
      </c>
      <c r="B29" s="77" t="s">
        <v>4</v>
      </c>
      <c r="C29" s="78" t="s">
        <v>21</v>
      </c>
      <c r="D29" s="187">
        <f>D14/'SHEET-4'!D29*1000</f>
        <v>902.98806908556617</v>
      </c>
      <c r="E29" s="56">
        <f>E14/'SHEET-4'!E29*1000</f>
        <v>783.30202974953272</v>
      </c>
      <c r="F29" s="56">
        <f>F14/'SHEET-4'!F29*1000</f>
        <v>608.83828637591648</v>
      </c>
      <c r="G29" s="56">
        <f>G14/'SHEET-4'!G29*1000</f>
        <v>648.16607359682212</v>
      </c>
      <c r="H29" s="182">
        <f>(D29-F29)/F29</f>
        <v>0.48313286022231539</v>
      </c>
      <c r="I29" s="183">
        <f>(E29-G29)/G29</f>
        <v>0.2084897091308871</v>
      </c>
      <c r="N29" s="79">
        <f>(D14/'SHEET-4'!D29)*1000</f>
        <v>902.98806908556617</v>
      </c>
      <c r="O29" s="79">
        <f>(E14/'SHEET-4'!E29)*1000</f>
        <v>783.30202974953272</v>
      </c>
      <c r="P29" s="79">
        <f>(F14/'SHEET-4'!F29)*1000</f>
        <v>608.83828637591648</v>
      </c>
      <c r="Q29" s="79">
        <f>(G14/'SHEET-4'!G29)*1000</f>
        <v>648.16607359682212</v>
      </c>
      <c r="R29" s="80"/>
    </row>
    <row r="30" spans="1:18" ht="21.6" customHeight="1" x14ac:dyDescent="0.4">
      <c r="A30" s="64">
        <v>2</v>
      </c>
      <c r="B30" s="65" t="s">
        <v>82</v>
      </c>
      <c r="C30" s="81" t="s">
        <v>21</v>
      </c>
      <c r="D30" s="150">
        <v>0</v>
      </c>
      <c r="E30" s="168">
        <v>0</v>
      </c>
      <c r="F30" s="200">
        <v>0</v>
      </c>
      <c r="G30" s="200">
        <v>0</v>
      </c>
      <c r="H30" s="193" t="e">
        <f t="shared" ref="H30:I40" si="1">(D30-F30)/F30</f>
        <v>#DIV/0!</v>
      </c>
      <c r="I30" s="194" t="e">
        <f t="shared" si="1"/>
        <v>#DIV/0!</v>
      </c>
      <c r="N30" s="79" t="e">
        <f>(D15/'SHEET-4'!D30)*1000</f>
        <v>#DIV/0!</v>
      </c>
      <c r="O30" s="79" t="e">
        <f>(E15/'SHEET-4'!E30)*1000</f>
        <v>#DIV/0!</v>
      </c>
      <c r="P30" s="79" t="e">
        <f>(F15/'SHEET-4'!F30)*1000</f>
        <v>#DIV/0!</v>
      </c>
      <c r="R30" s="80"/>
    </row>
    <row r="31" spans="1:18" ht="21.6" customHeight="1" x14ac:dyDescent="0.4">
      <c r="A31" s="64">
        <v>3</v>
      </c>
      <c r="B31" s="65" t="s">
        <v>7</v>
      </c>
      <c r="C31" s="81" t="s">
        <v>21</v>
      </c>
      <c r="D31" s="150">
        <v>0</v>
      </c>
      <c r="E31" s="168">
        <v>0</v>
      </c>
      <c r="F31" s="200">
        <v>0</v>
      </c>
      <c r="G31" s="200">
        <f t="shared" ref="G31" si="2">F31</f>
        <v>0</v>
      </c>
      <c r="H31" s="156">
        <v>0</v>
      </c>
      <c r="I31" s="157">
        <v>0</v>
      </c>
      <c r="N31" s="79" t="e">
        <f>(D16/'SHEET-4'!D31)*1000</f>
        <v>#DIV/0!</v>
      </c>
      <c r="O31" s="79" t="e">
        <f>(E16/'SHEET-4'!E31)*1000</f>
        <v>#DIV/0!</v>
      </c>
      <c r="P31" s="79" t="e">
        <f>(F16/'SHEET-4'!F31)*1000</f>
        <v>#DIV/0!</v>
      </c>
      <c r="R31" s="80"/>
    </row>
    <row r="32" spans="1:18" ht="24" customHeight="1" x14ac:dyDescent="0.4">
      <c r="A32" s="64">
        <v>4</v>
      </c>
      <c r="B32" s="65" t="s">
        <v>8</v>
      </c>
      <c r="C32" s="81" t="s">
        <v>21</v>
      </c>
      <c r="D32" s="150">
        <f>D17/'SHEET-4'!D32*1000</f>
        <v>902.98806908556617</v>
      </c>
      <c r="E32" s="150">
        <f>E17/'SHEET-4'!E32*1000</f>
        <v>783.30202974953272</v>
      </c>
      <c r="F32" s="199">
        <f>F17/'SHEET-4'!F32*1000</f>
        <v>608.83828637591648</v>
      </c>
      <c r="G32" s="199">
        <f>G17/'SHEET-4'!G32*1000</f>
        <v>648.16607359682212</v>
      </c>
      <c r="H32" s="156">
        <f t="shared" si="1"/>
        <v>0.48313286022231539</v>
      </c>
      <c r="I32" s="157">
        <f t="shared" si="1"/>
        <v>0.2084897091308871</v>
      </c>
      <c r="N32" s="79">
        <f>(D17/'SHEET-4'!D32)*1000</f>
        <v>902.98806908556617</v>
      </c>
      <c r="O32" s="79">
        <f>(E17/'SHEET-4'!E32)*1000</f>
        <v>783.30202974953272</v>
      </c>
      <c r="P32" s="79">
        <f>(F17/'SHEET-4'!F32)*1000</f>
        <v>608.83828637591648</v>
      </c>
      <c r="R32" s="80"/>
    </row>
    <row r="33" spans="1:18" ht="21.6" customHeight="1" x14ac:dyDescent="0.4">
      <c r="A33" s="64">
        <v>5</v>
      </c>
      <c r="B33" s="65" t="s">
        <v>2</v>
      </c>
      <c r="C33" s="81" t="s">
        <v>21</v>
      </c>
      <c r="D33" s="150">
        <f>D18/'SHEET-4'!D33*1000</f>
        <v>502.7549948941483</v>
      </c>
      <c r="E33" s="168">
        <f>E18/'SHEET-4'!E33*1000</f>
        <v>568.98410252070141</v>
      </c>
      <c r="F33" s="200">
        <f>F18/'SHEET-4'!F33*1000</f>
        <v>557.02382218955211</v>
      </c>
      <c r="G33" s="204">
        <f>G18/'SHEET-4'!G33*1000</f>
        <v>557.88839790695215</v>
      </c>
      <c r="H33" s="156">
        <f t="shared" si="1"/>
        <v>-9.742640284590276E-2</v>
      </c>
      <c r="I33" s="157">
        <f t="shared" si="1"/>
        <v>1.9888753118683548E-2</v>
      </c>
      <c r="N33" s="79">
        <f>(D18/'SHEET-4'!D33)*1000</f>
        <v>502.7549948941483</v>
      </c>
      <c r="O33" s="79">
        <f>(E18/'SHEET-4'!E33)*1000</f>
        <v>568.98410252070141</v>
      </c>
      <c r="P33" s="79">
        <f>(F18/'SHEET-4'!F33)*1000</f>
        <v>557.02382218955211</v>
      </c>
      <c r="R33" s="80"/>
    </row>
    <row r="34" spans="1:18" ht="21.6" customHeight="1" x14ac:dyDescent="0.4">
      <c r="A34" s="64">
        <v>6</v>
      </c>
      <c r="B34" s="65" t="s">
        <v>3</v>
      </c>
      <c r="C34" s="81" t="s">
        <v>21</v>
      </c>
      <c r="D34" s="307">
        <f>D19/'SHEET-4'!D34*1000</f>
        <v>800.08609781758139</v>
      </c>
      <c r="E34" s="308">
        <f>E19/'SHEET-4'!E34*1000</f>
        <v>803.26703030876217</v>
      </c>
      <c r="F34" s="264">
        <f>F19/'SHEET-4'!F34:F35*1000</f>
        <v>725.20174025069787</v>
      </c>
      <c r="G34" s="309">
        <f>G19/'SHEET-4'!G34*1000</f>
        <v>741.9216705359803</v>
      </c>
      <c r="H34" s="305">
        <f t="shared" si="1"/>
        <v>0.10326003567089684</v>
      </c>
      <c r="I34" s="306">
        <f t="shared" si="1"/>
        <v>8.2684415631726543E-2</v>
      </c>
      <c r="N34" s="79">
        <f>(D19/'SHEET-4'!D34)*1000</f>
        <v>800.08609781758139</v>
      </c>
      <c r="O34" s="79">
        <f>(E19/'SHEET-4'!E34)*1000</f>
        <v>803.26703030876217</v>
      </c>
      <c r="P34" s="79">
        <f>(F19/'SHEET-4'!F34)*1000</f>
        <v>725.20174025069787</v>
      </c>
      <c r="R34" s="80"/>
    </row>
    <row r="35" spans="1:18" ht="21.6" customHeight="1" x14ac:dyDescent="0.4">
      <c r="A35" s="64">
        <v>7</v>
      </c>
      <c r="B35" s="65" t="s">
        <v>1</v>
      </c>
      <c r="C35" s="81" t="s">
        <v>21</v>
      </c>
      <c r="D35" s="307"/>
      <c r="E35" s="308"/>
      <c r="F35" s="265"/>
      <c r="G35" s="310"/>
      <c r="H35" s="305"/>
      <c r="I35" s="306"/>
      <c r="N35" s="79" t="e">
        <f>(D20/'SHEET-4'!D35)*1000</f>
        <v>#DIV/0!</v>
      </c>
      <c r="O35" s="79" t="e">
        <f>(E20/'SHEET-4'!E35)*1000</f>
        <v>#DIV/0!</v>
      </c>
      <c r="P35" s="79" t="e">
        <f>(F20/'SHEET-4'!F35)*1000</f>
        <v>#DIV/0!</v>
      </c>
      <c r="R35" s="80"/>
    </row>
    <row r="36" spans="1:18" ht="21.6" customHeight="1" x14ac:dyDescent="0.4">
      <c r="A36" s="64">
        <v>8</v>
      </c>
      <c r="B36" s="65" t="s">
        <v>119</v>
      </c>
      <c r="C36" s="81" t="s">
        <v>21</v>
      </c>
      <c r="D36" s="150">
        <f>D21/'SHEET-4'!D36*1000</f>
        <v>771.72996219970616</v>
      </c>
      <c r="E36" s="168">
        <f>E21/'SHEET-4'!E36*1000</f>
        <v>708.67164015140156</v>
      </c>
      <c r="F36" s="200">
        <f>F21/'SHEET-4'!F36*1000</f>
        <v>678.4492588369443</v>
      </c>
      <c r="G36" s="204">
        <f>G21/'SHEET-4'!G36*1000</f>
        <v>645.43115558852787</v>
      </c>
      <c r="H36" s="156">
        <f t="shared" si="1"/>
        <v>0.13749105352796998</v>
      </c>
      <c r="I36" s="157">
        <f t="shared" si="1"/>
        <v>9.7981766165608608E-2</v>
      </c>
      <c r="N36" s="79">
        <f>(D21/'SHEET-4'!D36)*1000</f>
        <v>771.72996219970616</v>
      </c>
      <c r="O36" s="79">
        <f>(E21/'SHEET-4'!E36)*1000</f>
        <v>708.67164015140156</v>
      </c>
      <c r="P36" s="79">
        <f>(F21/'SHEET-4'!F36)*1000</f>
        <v>678.4492588369443</v>
      </c>
      <c r="R36" s="80"/>
    </row>
    <row r="37" spans="1:18" ht="24" customHeight="1" x14ac:dyDescent="0.4">
      <c r="A37" s="64">
        <v>9</v>
      </c>
      <c r="B37" s="65" t="s">
        <v>10</v>
      </c>
      <c r="C37" s="81" t="s">
        <v>21</v>
      </c>
      <c r="D37" s="150">
        <f>D22/'SHEET-4'!D37*1000</f>
        <v>624.64418313573731</v>
      </c>
      <c r="E37" s="168">
        <f>E22/'SHEET-4'!E37*1000</f>
        <v>660.26018577450316</v>
      </c>
      <c r="F37" s="200">
        <f>F22/'SHEET-4'!F37*1000</f>
        <v>622.37018707841207</v>
      </c>
      <c r="G37" s="204">
        <f>G22/'SHEET-4'!G37*1000</f>
        <v>624.94040793974045</v>
      </c>
      <c r="H37" s="156">
        <f t="shared" si="1"/>
        <v>3.6537676523357232E-3</v>
      </c>
      <c r="I37" s="157">
        <f t="shared" si="1"/>
        <v>5.651703328194517E-2</v>
      </c>
      <c r="N37" s="79">
        <f>(D22/'SHEET-4'!D37)*1000</f>
        <v>624.64418313573731</v>
      </c>
      <c r="O37" s="79">
        <f>(E22/'SHEET-4'!E37)*1000</f>
        <v>660.26018577450316</v>
      </c>
      <c r="P37" s="79">
        <f>(F22/'SHEET-4'!F37)*1000</f>
        <v>622.37018707841207</v>
      </c>
      <c r="R37" s="80"/>
    </row>
    <row r="38" spans="1:18" ht="21.6" customHeight="1" x14ac:dyDescent="0.4">
      <c r="A38" s="64">
        <v>10</v>
      </c>
      <c r="B38" s="65" t="s">
        <v>5</v>
      </c>
      <c r="C38" s="81" t="s">
        <v>21</v>
      </c>
      <c r="D38" s="150">
        <f>D23/'SHEET-4'!D38*1000</f>
        <v>226.07486180054929</v>
      </c>
      <c r="E38" s="168">
        <f>E23/'SHEET-4'!E38*1000</f>
        <v>291.17935810343346</v>
      </c>
      <c r="F38" s="220">
        <f>F23/'SHEET-4'!F38*1000</f>
        <v>372.86112216474328</v>
      </c>
      <c r="G38" s="204">
        <f>G23/'SHEET-4'!G38*1000</f>
        <v>328.22528776630361</v>
      </c>
      <c r="H38" s="156">
        <f t="shared" si="1"/>
        <v>-0.393675424007705</v>
      </c>
      <c r="I38" s="157">
        <f t="shared" si="1"/>
        <v>-0.11286738421339081</v>
      </c>
      <c r="N38" s="79">
        <f>(D23/'SHEET-4'!D38)*1000</f>
        <v>226.07486180054929</v>
      </c>
      <c r="O38" s="79">
        <f>(E23/'SHEET-4'!E38)*1000</f>
        <v>291.17935810343346</v>
      </c>
      <c r="P38" s="79">
        <f>(F23/'SHEET-4'!F38)*1000</f>
        <v>372.86112216474328</v>
      </c>
      <c r="R38" s="80"/>
    </row>
    <row r="39" spans="1:18" ht="24" customHeight="1" x14ac:dyDescent="0.4">
      <c r="A39" s="64">
        <v>11</v>
      </c>
      <c r="B39" s="65" t="s">
        <v>11</v>
      </c>
      <c r="C39" s="81" t="s">
        <v>21</v>
      </c>
      <c r="D39" s="150">
        <f>D24/'SHEET-4'!D39*1000</f>
        <v>543.30942712256103</v>
      </c>
      <c r="E39" s="168">
        <f>E24/'SHEET-4'!E39*1000</f>
        <v>587.20310263227088</v>
      </c>
      <c r="F39" s="200">
        <f>F24/'SHEET-4'!F39*1000</f>
        <v>590.86303853935237</v>
      </c>
      <c r="G39" s="204">
        <f>G24/'SHEET-4'!G39*1000</f>
        <v>578.81115915020928</v>
      </c>
      <c r="H39" s="156">
        <f t="shared" si="1"/>
        <v>-8.0481614714548094E-2</v>
      </c>
      <c r="I39" s="157">
        <f t="shared" si="1"/>
        <v>1.4498586195854223E-2</v>
      </c>
      <c r="N39" s="79">
        <f>(D24/'SHEET-4'!D39)*1000</f>
        <v>543.30942712256103</v>
      </c>
      <c r="O39" s="79">
        <f>(E24/'SHEET-4'!E39)*1000</f>
        <v>587.20310263227088</v>
      </c>
      <c r="P39" s="79">
        <f>(F24/'SHEET-4'!F39)*1000</f>
        <v>590.86303853935237</v>
      </c>
      <c r="R39" s="80"/>
    </row>
    <row r="40" spans="1:18" ht="31.5" customHeight="1" thickBot="1" x14ac:dyDescent="0.45">
      <c r="A40" s="69">
        <v>12</v>
      </c>
      <c r="B40" s="70" t="s">
        <v>12</v>
      </c>
      <c r="C40" s="82" t="s">
        <v>21</v>
      </c>
      <c r="D40" s="188">
        <f>D25/'SHEET-4'!D40*1000</f>
        <v>700.26100517223585</v>
      </c>
      <c r="E40" s="57">
        <f>E25/'SHEET-4'!E40*1000</f>
        <v>669.21457552793436</v>
      </c>
      <c r="F40" s="57">
        <f>F25/'SHEET-4'!F40*1000</f>
        <v>599.5290348793294</v>
      </c>
      <c r="G40" s="204">
        <f>G25/'SHEET-4'!G40*1000</f>
        <v>608.03656640101804</v>
      </c>
      <c r="H40" s="158">
        <f t="shared" si="1"/>
        <v>0.16801850191155687</v>
      </c>
      <c r="I40" s="159">
        <f t="shared" si="1"/>
        <v>0.10061567429904802</v>
      </c>
      <c r="N40" s="79">
        <f>(D25/'SHEET-4'!D40)*1000</f>
        <v>700.26100517223585</v>
      </c>
      <c r="O40" s="79">
        <f>(E25/'SHEET-4'!E40)*1000</f>
        <v>669.21457552793436</v>
      </c>
      <c r="P40" s="79">
        <f>(F25/'SHEET-4'!F40)*1000</f>
        <v>599.5290348793294</v>
      </c>
      <c r="R40" s="80"/>
    </row>
    <row r="41" spans="1:18" ht="23.25" x14ac:dyDescent="0.35">
      <c r="P41" s="80"/>
    </row>
    <row r="42" spans="1:18" ht="23.25" x14ac:dyDescent="0.35">
      <c r="P42" s="80"/>
    </row>
    <row r="43" spans="1:18" ht="12.75" customHeight="1" x14ac:dyDescent="0.35">
      <c r="A43" s="267"/>
      <c r="B43" s="267"/>
      <c r="P43" s="80"/>
    </row>
    <row r="44" spans="1:18" ht="23.25" x14ac:dyDescent="0.35">
      <c r="P44" s="80"/>
    </row>
    <row r="49" spans="4:6" ht="26.25" x14ac:dyDescent="0.4">
      <c r="D49" s="83"/>
    </row>
    <row r="50" spans="4:6" ht="26.25" x14ac:dyDescent="0.4">
      <c r="D50" s="83"/>
    </row>
    <row r="51" spans="4:6" ht="26.25" x14ac:dyDescent="0.4">
      <c r="D51" s="84"/>
    </row>
    <row r="55" spans="4:6" ht="23.25" x14ac:dyDescent="0.35">
      <c r="F55" s="68"/>
    </row>
    <row r="56" spans="4:6" ht="23.25" x14ac:dyDescent="0.35">
      <c r="F56" s="68"/>
    </row>
    <row r="57" spans="4:6" ht="23.25" x14ac:dyDescent="0.35">
      <c r="F57" s="68"/>
    </row>
  </sheetData>
  <mergeCells count="23">
    <mergeCell ref="A43:B43"/>
    <mergeCell ref="D34:D35"/>
    <mergeCell ref="E34:E35"/>
    <mergeCell ref="F34:F35"/>
    <mergeCell ref="G34:G35"/>
    <mergeCell ref="H34:H35"/>
    <mergeCell ref="I34:I35"/>
    <mergeCell ref="H12:H13"/>
    <mergeCell ref="I12:I13"/>
    <mergeCell ref="D13:E13"/>
    <mergeCell ref="F13:G13"/>
    <mergeCell ref="D19:D20"/>
    <mergeCell ref="E19:E20"/>
    <mergeCell ref="F19:F20"/>
    <mergeCell ref="G19:G20"/>
    <mergeCell ref="H19:H20"/>
    <mergeCell ref="I19:I20"/>
    <mergeCell ref="A5:I5"/>
    <mergeCell ref="A7:I7"/>
    <mergeCell ref="A9:I9"/>
    <mergeCell ref="D11:E11"/>
    <mergeCell ref="F11:G11"/>
    <mergeCell ref="H11:I11"/>
  </mergeCells>
  <printOptions horizontalCentered="1" verticalCentered="1"/>
  <pageMargins left="0.25" right="0.25" top="0.25" bottom="0.25" header="0.5" footer="0.5"/>
  <pageSetup paperSize="9" scale="5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2:P76"/>
  <sheetViews>
    <sheetView view="pageBreakPreview" topLeftCell="A37" zoomScale="60" zoomScaleNormal="60" workbookViewId="0">
      <selection activeCell="D44" sqref="D44"/>
    </sheetView>
  </sheetViews>
  <sheetFormatPr defaultRowHeight="12.75" x14ac:dyDescent="0.2"/>
  <cols>
    <col min="1" max="1" width="8" customWidth="1"/>
    <col min="2" max="2" width="65.85546875" customWidth="1"/>
    <col min="3" max="3" width="22" customWidth="1"/>
    <col min="4" max="4" width="24.7109375" customWidth="1"/>
    <col min="5" max="5" width="25.5703125" customWidth="1"/>
    <col min="6" max="6" width="24.140625" customWidth="1"/>
    <col min="7" max="7" width="25.5703125" customWidth="1"/>
    <col min="8" max="9" width="21.85546875" bestFit="1" customWidth="1"/>
    <col min="14" max="14" width="39.42578125" customWidth="1"/>
  </cols>
  <sheetData>
    <row r="2" spans="1:10" ht="30" x14ac:dyDescent="0.2">
      <c r="I2" s="48" t="s">
        <v>226</v>
      </c>
    </row>
    <row r="5" spans="1:10" ht="30" x14ac:dyDescent="0.45">
      <c r="A5" s="311" t="s">
        <v>0</v>
      </c>
      <c r="B5" s="311"/>
      <c r="C5" s="311"/>
      <c r="D5" s="311"/>
      <c r="E5" s="311"/>
      <c r="F5" s="311"/>
      <c r="G5" s="311"/>
      <c r="H5" s="311"/>
      <c r="I5" s="311"/>
      <c r="J5" s="5"/>
    </row>
    <row r="6" spans="1:10" ht="8.25" customHeight="1" x14ac:dyDescent="0.2">
      <c r="A6" s="5"/>
      <c r="B6" s="5"/>
      <c r="C6" s="5"/>
      <c r="D6" s="5"/>
      <c r="E6" s="5"/>
      <c r="F6" s="5"/>
      <c r="G6" s="5"/>
      <c r="H6" s="5"/>
      <c r="I6" s="5"/>
      <c r="J6" s="5"/>
    </row>
    <row r="7" spans="1:10" ht="30" x14ac:dyDescent="0.2">
      <c r="A7" s="313" t="s">
        <v>20</v>
      </c>
      <c r="B7" s="313"/>
      <c r="C7" s="313"/>
      <c r="D7" s="313"/>
      <c r="E7" s="313"/>
      <c r="F7" s="313"/>
      <c r="G7" s="313"/>
      <c r="H7" s="313"/>
      <c r="I7" s="313"/>
      <c r="J7" s="5"/>
    </row>
    <row r="8" spans="1:10" ht="8.25" customHeight="1" x14ac:dyDescent="0.2">
      <c r="A8" s="5"/>
      <c r="B8" s="5"/>
      <c r="C8" s="5"/>
      <c r="D8" s="5"/>
      <c r="E8" s="5"/>
      <c r="F8" s="5"/>
      <c r="G8" s="5"/>
      <c r="H8" s="5"/>
      <c r="I8" s="5"/>
      <c r="J8" s="5"/>
    </row>
    <row r="9" spans="1:10" ht="27.75" x14ac:dyDescent="0.2">
      <c r="A9" s="312" t="s">
        <v>40</v>
      </c>
      <c r="B9" s="312"/>
      <c r="C9" s="312"/>
      <c r="D9" s="312"/>
      <c r="E9" s="312"/>
      <c r="F9" s="312"/>
      <c r="G9" s="312"/>
      <c r="H9" s="312"/>
      <c r="I9" s="312"/>
      <c r="J9" s="5"/>
    </row>
    <row r="10" spans="1:10" ht="13.5" thickBot="1" x14ac:dyDescent="0.25">
      <c r="A10" s="5"/>
      <c r="B10" s="5"/>
      <c r="C10" s="5"/>
      <c r="D10" s="5"/>
      <c r="E10" s="5"/>
      <c r="F10" s="5"/>
      <c r="G10" s="5"/>
      <c r="H10" s="5"/>
      <c r="I10" s="5"/>
      <c r="J10" s="5"/>
    </row>
    <row r="11" spans="1:10" ht="18" x14ac:dyDescent="0.2">
      <c r="A11" s="12"/>
      <c r="B11" s="50"/>
      <c r="C11" s="50"/>
      <c r="D11" s="314" t="s">
        <v>16</v>
      </c>
      <c r="E11" s="314"/>
      <c r="F11" s="314" t="s">
        <v>66</v>
      </c>
      <c r="G11" s="314"/>
      <c r="H11" s="314" t="s">
        <v>17</v>
      </c>
      <c r="I11" s="315"/>
      <c r="J11" s="5"/>
    </row>
    <row r="12" spans="1:10" ht="18" x14ac:dyDescent="0.2">
      <c r="A12" s="13"/>
      <c r="B12" s="51"/>
      <c r="C12" s="51"/>
      <c r="D12" s="51" t="s">
        <v>14</v>
      </c>
      <c r="E12" s="51" t="s">
        <v>15</v>
      </c>
      <c r="F12" s="51" t="s">
        <v>14</v>
      </c>
      <c r="G12" s="51" t="s">
        <v>15</v>
      </c>
      <c r="H12" s="318" t="s">
        <v>14</v>
      </c>
      <c r="I12" s="320" t="s">
        <v>15</v>
      </c>
      <c r="J12" s="5"/>
    </row>
    <row r="13" spans="1:10" ht="27" customHeight="1" thickBot="1" x14ac:dyDescent="0.25">
      <c r="A13" s="15" t="s">
        <v>38</v>
      </c>
      <c r="B13" s="16" t="s">
        <v>39</v>
      </c>
      <c r="C13" s="1"/>
      <c r="D13" s="279" t="str">
        <f>+'SHEET-5'!D13:E13</f>
        <v>July-2022 to Sept-2022</v>
      </c>
      <c r="E13" s="279"/>
      <c r="F13" s="279" t="str">
        <f>+'SHEET-5'!F13:G13</f>
        <v>July-2021 to Sept-2021</v>
      </c>
      <c r="G13" s="279"/>
      <c r="H13" s="319"/>
      <c r="I13" s="321"/>
      <c r="J13" s="5"/>
    </row>
    <row r="14" spans="1:10" ht="23.25" x14ac:dyDescent="0.2">
      <c r="A14" s="127">
        <v>1</v>
      </c>
      <c r="B14" s="128" t="s">
        <v>4</v>
      </c>
      <c r="C14" s="129" t="s">
        <v>35</v>
      </c>
      <c r="D14" s="244">
        <v>92.426082917243065</v>
      </c>
      <c r="E14" s="245">
        <v>92.800693596697869</v>
      </c>
      <c r="F14" s="241">
        <v>89.070182249719949</v>
      </c>
      <c r="G14" s="238">
        <v>90.64602771242059</v>
      </c>
      <c r="H14" s="146">
        <f>(D14-F14)/F14</f>
        <v>3.7677038294526087E-2</v>
      </c>
      <c r="I14" s="147">
        <f>(E14-G14)/G14</f>
        <v>2.3770108174106342E-2</v>
      </c>
      <c r="J14" s="5"/>
    </row>
    <row r="15" spans="1:10" ht="23.25" x14ac:dyDescent="0.2">
      <c r="A15" s="13">
        <v>2</v>
      </c>
      <c r="B15" s="14" t="s">
        <v>82</v>
      </c>
      <c r="C15" s="26" t="s">
        <v>35</v>
      </c>
      <c r="D15" s="246">
        <v>0</v>
      </c>
      <c r="E15" s="245">
        <v>0</v>
      </c>
      <c r="F15" s="239">
        <v>0</v>
      </c>
      <c r="G15" s="238">
        <v>0</v>
      </c>
      <c r="H15" s="195" t="e">
        <f t="shared" ref="H15:H18" si="0">(D15-F15)/F15</f>
        <v>#DIV/0!</v>
      </c>
      <c r="I15" s="196" t="e">
        <f t="shared" ref="I15:I25" si="1">(E15-G15)/G15</f>
        <v>#DIV/0!</v>
      </c>
      <c r="J15" s="5"/>
    </row>
    <row r="16" spans="1:10" ht="23.25" x14ac:dyDescent="0.2">
      <c r="A16" s="13">
        <v>3</v>
      </c>
      <c r="B16" s="14" t="s">
        <v>7</v>
      </c>
      <c r="C16" s="26" t="s">
        <v>35</v>
      </c>
      <c r="D16" s="246">
        <v>0</v>
      </c>
      <c r="E16" s="245">
        <v>0</v>
      </c>
      <c r="F16" s="239">
        <v>0</v>
      </c>
      <c r="G16" s="238">
        <v>0</v>
      </c>
      <c r="H16" s="146">
        <v>0</v>
      </c>
      <c r="I16" s="143">
        <v>0</v>
      </c>
      <c r="J16" s="5"/>
    </row>
    <row r="17" spans="1:16" ht="23.25" x14ac:dyDescent="0.2">
      <c r="A17" s="13">
        <v>4</v>
      </c>
      <c r="B17" s="14" t="s">
        <v>8</v>
      </c>
      <c r="C17" s="26" t="s">
        <v>35</v>
      </c>
      <c r="D17" s="246">
        <f>SUM(D14:D16)</f>
        <v>92.426082917243065</v>
      </c>
      <c r="E17" s="246">
        <f>SUM(E14:E16)</f>
        <v>92.800693596697869</v>
      </c>
      <c r="F17" s="239">
        <f>SUM(F14:F16)</f>
        <v>89.070182249719949</v>
      </c>
      <c r="G17" s="239">
        <f>SUM(G14:G16)</f>
        <v>90.64602771242059</v>
      </c>
      <c r="H17" s="146">
        <f t="shared" si="0"/>
        <v>3.7677038294526087E-2</v>
      </c>
      <c r="I17" s="143">
        <f t="shared" si="1"/>
        <v>2.3770108174106342E-2</v>
      </c>
      <c r="J17" s="5"/>
    </row>
    <row r="18" spans="1:16" ht="23.25" x14ac:dyDescent="0.2">
      <c r="A18" s="13">
        <v>5</v>
      </c>
      <c r="B18" s="14" t="s">
        <v>2</v>
      </c>
      <c r="C18" s="26" t="s">
        <v>35</v>
      </c>
      <c r="D18" s="247">
        <v>15.346847137780195</v>
      </c>
      <c r="E18" s="245">
        <v>16.730840095390601</v>
      </c>
      <c r="F18" s="223">
        <v>15.673336398050989</v>
      </c>
      <c r="G18" s="238">
        <v>16.69941739594276</v>
      </c>
      <c r="H18" s="146">
        <f t="shared" si="0"/>
        <v>-2.0830871741602728E-2</v>
      </c>
      <c r="I18" s="143">
        <f t="shared" si="1"/>
        <v>1.8816644139618549E-3</v>
      </c>
      <c r="J18" s="5"/>
    </row>
    <row r="19" spans="1:16" ht="18" customHeight="1" x14ac:dyDescent="0.2">
      <c r="A19" s="13">
        <v>6</v>
      </c>
      <c r="B19" s="14" t="s">
        <v>3</v>
      </c>
      <c r="C19" s="26" t="s">
        <v>35</v>
      </c>
      <c r="D19" s="324">
        <v>76.604946464520339</v>
      </c>
      <c r="E19" s="316">
        <v>77.243730534847117</v>
      </c>
      <c r="F19" s="307">
        <v>79.601117160952185</v>
      </c>
      <c r="G19" s="308">
        <v>81.339356299215154</v>
      </c>
      <c r="H19" s="323">
        <f t="shared" ref="H19" si="2">(D19-F19)/F19</f>
        <v>-3.7639807119460869E-2</v>
      </c>
      <c r="I19" s="322">
        <f t="shared" si="1"/>
        <v>-5.0352325746245867E-2</v>
      </c>
      <c r="J19" s="5"/>
    </row>
    <row r="20" spans="1:16" ht="18" customHeight="1" x14ac:dyDescent="0.2">
      <c r="A20" s="13">
        <v>7</v>
      </c>
      <c r="B20" s="14" t="s">
        <v>1</v>
      </c>
      <c r="C20" s="26" t="s">
        <v>35</v>
      </c>
      <c r="D20" s="324"/>
      <c r="E20" s="316"/>
      <c r="F20" s="307"/>
      <c r="G20" s="308"/>
      <c r="H20" s="323"/>
      <c r="I20" s="322"/>
      <c r="J20" s="5"/>
      <c r="P20" s="2"/>
    </row>
    <row r="21" spans="1:16" ht="23.25" x14ac:dyDescent="0.2">
      <c r="A21" s="13">
        <v>8</v>
      </c>
      <c r="B21" s="14" t="s">
        <v>9</v>
      </c>
      <c r="C21" s="26" t="s">
        <v>35</v>
      </c>
      <c r="D21" s="247">
        <v>3.4692465806987829</v>
      </c>
      <c r="E21" s="245">
        <v>3.4653617806831587</v>
      </c>
      <c r="F21" s="223">
        <v>3.6066179426421119</v>
      </c>
      <c r="G21" s="238">
        <v>3.5332696231546517</v>
      </c>
      <c r="H21" s="146">
        <f t="shared" ref="H21:H25" si="3">(D21-F21)/F21</f>
        <v>-3.8088692544654287E-2</v>
      </c>
      <c r="I21" s="143">
        <f t="shared" si="1"/>
        <v>-1.9219547250645983E-2</v>
      </c>
      <c r="J21" s="5"/>
    </row>
    <row r="22" spans="1:16" ht="23.25" x14ac:dyDescent="0.2">
      <c r="A22" s="13">
        <v>9</v>
      </c>
      <c r="B22" s="14" t="s">
        <v>10</v>
      </c>
      <c r="C22" s="26" t="s">
        <v>35</v>
      </c>
      <c r="D22" s="246">
        <v>35.473107252121316</v>
      </c>
      <c r="E22" s="245">
        <v>37.366066240286102</v>
      </c>
      <c r="F22" s="239">
        <v>35.96961826303172</v>
      </c>
      <c r="G22" s="238">
        <v>37.52865964946777</v>
      </c>
      <c r="H22" s="146">
        <f t="shared" si="3"/>
        <v>-1.3803621914461609E-2</v>
      </c>
      <c r="I22" s="143">
        <f t="shared" si="1"/>
        <v>-4.3325130900051557E-3</v>
      </c>
      <c r="J22" s="5"/>
    </row>
    <row r="23" spans="1:16" ht="23.25" x14ac:dyDescent="0.2">
      <c r="A23" s="13">
        <v>10</v>
      </c>
      <c r="B23" s="14" t="s">
        <v>5</v>
      </c>
      <c r="C23" s="26" t="s">
        <v>35</v>
      </c>
      <c r="D23" s="247">
        <v>56.343947897582026</v>
      </c>
      <c r="E23" s="245">
        <v>35.373689568921854</v>
      </c>
      <c r="F23" s="223">
        <v>52.917167616034014</v>
      </c>
      <c r="G23" s="238">
        <v>36.085364106029552</v>
      </c>
      <c r="H23" s="146">
        <f t="shared" si="3"/>
        <v>6.4757439521568247E-2</v>
      </c>
      <c r="I23" s="143">
        <f t="shared" si="1"/>
        <v>-1.9721971905745098E-2</v>
      </c>
      <c r="J23" s="5"/>
    </row>
    <row r="24" spans="1:16" ht="23.25" x14ac:dyDescent="0.2">
      <c r="A24" s="13">
        <v>11</v>
      </c>
      <c r="B24" s="14" t="s">
        <v>11</v>
      </c>
      <c r="C24" s="26" t="s">
        <v>35</v>
      </c>
      <c r="D24" s="246">
        <v>37.243599529424451</v>
      </c>
      <c r="E24" s="245">
        <v>37.093963749559691</v>
      </c>
      <c r="F24" s="239">
        <v>37.526574487623918</v>
      </c>
      <c r="G24" s="238">
        <v>37.335415111207809</v>
      </c>
      <c r="H24" s="146">
        <f t="shared" si="3"/>
        <v>-7.5406551773808022E-3</v>
      </c>
      <c r="I24" s="143">
        <f t="shared" si="1"/>
        <v>-6.4670865699209927E-3</v>
      </c>
      <c r="J24" s="5"/>
    </row>
    <row r="25" spans="1:16" ht="24" thickBot="1" x14ac:dyDescent="0.25">
      <c r="A25" s="15">
        <v>12</v>
      </c>
      <c r="B25" s="16" t="s">
        <v>12</v>
      </c>
      <c r="C25" s="27" t="s">
        <v>35</v>
      </c>
      <c r="D25" s="248">
        <v>65.033275945700495</v>
      </c>
      <c r="E25" s="248">
        <v>64.948150046932156</v>
      </c>
      <c r="F25" s="222">
        <v>63.26830135976644</v>
      </c>
      <c r="G25" s="222">
        <v>63.692494262408225</v>
      </c>
      <c r="H25" s="146">
        <f t="shared" si="3"/>
        <v>2.7896664648822667E-2</v>
      </c>
      <c r="I25" s="142">
        <f t="shared" si="1"/>
        <v>1.9714344665962131E-2</v>
      </c>
      <c r="J25" s="5"/>
    </row>
    <row r="26" spans="1:16" ht="8.25" customHeight="1" x14ac:dyDescent="0.3">
      <c r="A26" s="6"/>
      <c r="B26" s="7"/>
      <c r="C26" s="8"/>
      <c r="D26" s="249"/>
      <c r="E26" s="249"/>
      <c r="F26" s="208"/>
      <c r="G26" s="208"/>
      <c r="H26" s="10"/>
      <c r="I26" s="11"/>
      <c r="J26" s="5"/>
    </row>
    <row r="27" spans="1:16" ht="27" customHeight="1" x14ac:dyDescent="0.3">
      <c r="A27" s="3" t="s">
        <v>6</v>
      </c>
      <c r="B27" s="9" t="s">
        <v>103</v>
      </c>
      <c r="C27" s="8"/>
      <c r="D27" s="249"/>
      <c r="E27" s="249"/>
      <c r="F27" s="208"/>
      <c r="G27" s="208"/>
      <c r="H27" s="10"/>
      <c r="I27" s="11"/>
      <c r="J27" s="5"/>
    </row>
    <row r="28" spans="1:16" ht="9" customHeight="1" thickBot="1" x14ac:dyDescent="0.35">
      <c r="A28" s="6"/>
      <c r="B28" s="7"/>
      <c r="C28" s="8"/>
      <c r="D28" s="249"/>
      <c r="E28" s="249"/>
      <c r="F28" s="208"/>
      <c r="G28" s="208"/>
      <c r="H28" s="10"/>
      <c r="I28" s="145"/>
      <c r="J28" s="5"/>
    </row>
    <row r="29" spans="1:16" ht="23.25" x14ac:dyDescent="0.2">
      <c r="A29" s="12">
        <v>1</v>
      </c>
      <c r="B29" s="17" t="s">
        <v>4</v>
      </c>
      <c r="C29" s="4" t="s">
        <v>35</v>
      </c>
      <c r="D29" s="250">
        <v>417.76285336104991</v>
      </c>
      <c r="E29" s="250">
        <v>417.84957165304075</v>
      </c>
      <c r="F29" s="187">
        <v>417.75811973641186</v>
      </c>
      <c r="G29" s="187">
        <v>417.76667586352295</v>
      </c>
      <c r="H29" s="139">
        <f>(D29-F29)/F29</f>
        <v>1.1331017673663237E-5</v>
      </c>
      <c r="I29" s="140">
        <f>(E29-G29)/G29</f>
        <v>1.9842604570233124E-4</v>
      </c>
      <c r="J29" s="5"/>
    </row>
    <row r="30" spans="1:16" ht="23.25" x14ac:dyDescent="0.2">
      <c r="A30" s="13">
        <v>2</v>
      </c>
      <c r="B30" s="14" t="s">
        <v>82</v>
      </c>
      <c r="C30" s="26" t="s">
        <v>35</v>
      </c>
      <c r="D30" s="246">
        <v>0</v>
      </c>
      <c r="E30" s="245">
        <v>0</v>
      </c>
      <c r="F30" s="239">
        <v>0</v>
      </c>
      <c r="G30" s="238">
        <v>0</v>
      </c>
      <c r="H30" s="192" t="e">
        <f t="shared" ref="H30:H40" si="4">(D30-F30)/F30</f>
        <v>#DIV/0!</v>
      </c>
      <c r="I30" s="196" t="e">
        <f t="shared" ref="I30:I40" si="5">(E30-G30)/G30</f>
        <v>#DIV/0!</v>
      </c>
      <c r="J30" s="5"/>
    </row>
    <row r="31" spans="1:16" ht="23.25" x14ac:dyDescent="0.2">
      <c r="A31" s="13">
        <v>3</v>
      </c>
      <c r="B31" s="14" t="s">
        <v>7</v>
      </c>
      <c r="C31" s="26" t="s">
        <v>35</v>
      </c>
      <c r="D31" s="246">
        <v>0</v>
      </c>
      <c r="E31" s="245">
        <v>0</v>
      </c>
      <c r="F31" s="239">
        <v>0</v>
      </c>
      <c r="G31" s="238">
        <v>0</v>
      </c>
      <c r="H31" s="144">
        <v>0</v>
      </c>
      <c r="I31" s="143">
        <v>0</v>
      </c>
      <c r="J31" s="5"/>
    </row>
    <row r="32" spans="1:16" ht="23.25" x14ac:dyDescent="0.2">
      <c r="A32" s="13">
        <v>4</v>
      </c>
      <c r="B32" s="14" t="s">
        <v>8</v>
      </c>
      <c r="C32" s="26" t="s">
        <v>35</v>
      </c>
      <c r="D32" s="246">
        <f>D29</f>
        <v>417.76285336104991</v>
      </c>
      <c r="E32" s="245">
        <f>E29</f>
        <v>417.84957165304075</v>
      </c>
      <c r="F32" s="239">
        <f>F29</f>
        <v>417.75811973641186</v>
      </c>
      <c r="G32" s="238">
        <f>G29</f>
        <v>417.76667586352295</v>
      </c>
      <c r="H32" s="144">
        <f t="shared" si="4"/>
        <v>1.1331017673663237E-5</v>
      </c>
      <c r="I32" s="143">
        <f t="shared" si="5"/>
        <v>1.9842604570233124E-4</v>
      </c>
      <c r="J32" s="5"/>
    </row>
    <row r="33" spans="1:10" ht="23.25" x14ac:dyDescent="0.2">
      <c r="A33" s="13">
        <v>5</v>
      </c>
      <c r="B33" s="14" t="s">
        <v>2</v>
      </c>
      <c r="C33" s="26" t="s">
        <v>35</v>
      </c>
      <c r="D33" s="246">
        <v>367.05571155149715</v>
      </c>
      <c r="E33" s="245">
        <v>364.62340887130358</v>
      </c>
      <c r="F33" s="239">
        <v>371.74967467834318</v>
      </c>
      <c r="G33" s="238">
        <v>371.03966275863928</v>
      </c>
      <c r="H33" s="144">
        <f t="shared" si="4"/>
        <v>-1.2626677160934937E-2</v>
      </c>
      <c r="I33" s="143">
        <f t="shared" si="5"/>
        <v>-1.7292636155476087E-2</v>
      </c>
      <c r="J33" s="5"/>
    </row>
    <row r="34" spans="1:10" ht="18" customHeight="1" x14ac:dyDescent="0.2">
      <c r="A34" s="13">
        <v>6</v>
      </c>
      <c r="B34" s="14" t="s">
        <v>3</v>
      </c>
      <c r="C34" s="26" t="s">
        <v>35</v>
      </c>
      <c r="D34" s="325">
        <v>465.56173816589404</v>
      </c>
      <c r="E34" s="316">
        <v>463.13210499069044</v>
      </c>
      <c r="F34" s="309">
        <v>468.69230339447984</v>
      </c>
      <c r="G34" s="308">
        <v>471.21762105054722</v>
      </c>
      <c r="H34" s="323">
        <f t="shared" si="4"/>
        <v>-6.6793612907932081E-3</v>
      </c>
      <c r="I34" s="322">
        <f t="shared" si="5"/>
        <v>-1.7158772717010634E-2</v>
      </c>
      <c r="J34" s="5"/>
    </row>
    <row r="35" spans="1:10" ht="18" customHeight="1" x14ac:dyDescent="0.2">
      <c r="A35" s="13">
        <v>7</v>
      </c>
      <c r="B35" s="14" t="s">
        <v>1</v>
      </c>
      <c r="C35" s="26" t="s">
        <v>35</v>
      </c>
      <c r="D35" s="326"/>
      <c r="E35" s="316" t="e">
        <v>#DIV/0!</v>
      </c>
      <c r="F35" s="310"/>
      <c r="G35" s="308" t="e">
        <v>#DIV/0!</v>
      </c>
      <c r="H35" s="323"/>
      <c r="I35" s="322"/>
      <c r="J35" s="5"/>
    </row>
    <row r="36" spans="1:10" ht="23.25" x14ac:dyDescent="0.2">
      <c r="A36" s="13">
        <v>8</v>
      </c>
      <c r="B36" s="14" t="s">
        <v>9</v>
      </c>
      <c r="C36" s="26" t="s">
        <v>35</v>
      </c>
      <c r="D36" s="246">
        <v>342.67160620765549</v>
      </c>
      <c r="E36" s="245">
        <v>338.04815800202533</v>
      </c>
      <c r="F36" s="239">
        <v>335.96096984743502</v>
      </c>
      <c r="G36" s="238">
        <v>347.22243447558304</v>
      </c>
      <c r="H36" s="144">
        <f t="shared" si="4"/>
        <v>1.997445228017964E-2</v>
      </c>
      <c r="I36" s="143">
        <f t="shared" si="5"/>
        <v>-2.6421900092411379E-2</v>
      </c>
      <c r="J36" s="5"/>
    </row>
    <row r="37" spans="1:10" ht="23.25" x14ac:dyDescent="0.2">
      <c r="A37" s="13">
        <v>9</v>
      </c>
      <c r="B37" s="14" t="s">
        <v>10</v>
      </c>
      <c r="C37" s="26" t="s">
        <v>35</v>
      </c>
      <c r="D37" s="246">
        <v>399.16230037939368</v>
      </c>
      <c r="E37" s="245">
        <v>397.95898332418773</v>
      </c>
      <c r="F37" s="239">
        <v>401.6879137054753</v>
      </c>
      <c r="G37" s="238">
        <v>403.14526820573849</v>
      </c>
      <c r="H37" s="144">
        <f t="shared" si="4"/>
        <v>-6.2875014156722571E-3</v>
      </c>
      <c r="I37" s="143">
        <f t="shared" si="5"/>
        <v>-1.2864556006407167E-2</v>
      </c>
      <c r="J37" s="5"/>
    </row>
    <row r="38" spans="1:10" ht="23.25" x14ac:dyDescent="0.2">
      <c r="A38" s="13">
        <v>10</v>
      </c>
      <c r="B38" s="14" t="s">
        <v>223</v>
      </c>
      <c r="C38" s="26" t="s">
        <v>35</v>
      </c>
      <c r="D38" s="246">
        <v>86.905245410170707</v>
      </c>
      <c r="E38" s="245">
        <v>83.07900040942998</v>
      </c>
      <c r="F38" s="239">
        <v>82.824112171339266</v>
      </c>
      <c r="G38" s="238">
        <v>84.188224501328989</v>
      </c>
      <c r="H38" s="144">
        <f t="shared" si="4"/>
        <v>4.9274699502830172E-2</v>
      </c>
      <c r="I38" s="143">
        <f t="shared" si="5"/>
        <v>-1.3175525419015083E-2</v>
      </c>
      <c r="J38" s="5"/>
    </row>
    <row r="39" spans="1:10" ht="23.25" x14ac:dyDescent="0.2">
      <c r="A39" s="13">
        <v>11</v>
      </c>
      <c r="B39" s="14" t="s">
        <v>11</v>
      </c>
      <c r="C39" s="26" t="s">
        <v>35</v>
      </c>
      <c r="D39" s="246">
        <v>372.67325215427246</v>
      </c>
      <c r="E39" s="245">
        <v>354.95525372704839</v>
      </c>
      <c r="F39" s="239">
        <v>372.39418100967663</v>
      </c>
      <c r="G39" s="238">
        <v>360.43973439068174</v>
      </c>
      <c r="H39" s="144">
        <f t="shared" si="4"/>
        <v>7.4939716791273011E-4</v>
      </c>
      <c r="I39" s="143">
        <f t="shared" si="5"/>
        <v>-1.5216082302648417E-2</v>
      </c>
      <c r="J39" s="5"/>
    </row>
    <row r="40" spans="1:10" ht="24" thickBot="1" x14ac:dyDescent="0.25">
      <c r="A40" s="15"/>
      <c r="B40" s="16" t="s">
        <v>12</v>
      </c>
      <c r="C40" s="27" t="s">
        <v>35</v>
      </c>
      <c r="D40" s="248">
        <v>395.38019374784119</v>
      </c>
      <c r="E40" s="245">
        <v>386.40334004200486</v>
      </c>
      <c r="F40" s="222">
        <v>395.04967935853227</v>
      </c>
      <c r="G40" s="238">
        <v>388.78251006273501</v>
      </c>
      <c r="H40" s="141">
        <f t="shared" si="4"/>
        <v>8.3664006472703443E-4</v>
      </c>
      <c r="I40" s="142">
        <f t="shared" si="5"/>
        <v>-6.1195397404740452E-3</v>
      </c>
      <c r="J40" s="5"/>
    </row>
    <row r="41" spans="1:10" ht="15.75" customHeight="1" x14ac:dyDescent="0.3">
      <c r="A41" s="6"/>
      <c r="B41" s="7"/>
      <c r="C41" s="8"/>
      <c r="D41" s="117"/>
      <c r="E41" s="117"/>
      <c r="F41" s="23"/>
      <c r="G41" s="23"/>
      <c r="H41" s="10"/>
      <c r="I41" s="11"/>
      <c r="J41" s="5"/>
    </row>
    <row r="42" spans="1:10" ht="20.25" x14ac:dyDescent="0.3">
      <c r="A42" s="3" t="s">
        <v>45</v>
      </c>
      <c r="B42" s="9" t="s">
        <v>36</v>
      </c>
      <c r="C42" s="8"/>
      <c r="D42" s="117"/>
      <c r="E42" s="117"/>
      <c r="F42" s="23"/>
      <c r="G42" s="23"/>
      <c r="H42" s="10"/>
      <c r="I42" s="11"/>
      <c r="J42" s="5"/>
    </row>
    <row r="43" spans="1:10" ht="12" customHeight="1" thickBot="1" x14ac:dyDescent="0.35">
      <c r="A43" s="6"/>
      <c r="B43" s="7"/>
      <c r="C43" s="8"/>
      <c r="D43" s="117"/>
      <c r="E43" s="117"/>
      <c r="F43" s="23"/>
      <c r="G43" s="23"/>
      <c r="H43" s="10"/>
      <c r="I43" s="11"/>
      <c r="J43" s="5"/>
    </row>
    <row r="44" spans="1:10" ht="23.25" x14ac:dyDescent="0.2">
      <c r="A44" s="12">
        <v>1</v>
      </c>
      <c r="B44" s="17" t="s">
        <v>4</v>
      </c>
      <c r="C44" s="4" t="s">
        <v>37</v>
      </c>
      <c r="D44" s="209">
        <f>'SHEET-4'!D29/'SHEET-4'!D14*10^6</f>
        <v>502044.92753623187</v>
      </c>
      <c r="E44" s="209">
        <f>'SHEET-4'!E29/'SHEET-4'!E14*10^6</f>
        <v>998481.1594202898</v>
      </c>
      <c r="F44" s="45">
        <f>'SHEET-4'!F29/'SHEET-4'!F14*10^6</f>
        <v>573993.80325329211</v>
      </c>
      <c r="G44" s="45">
        <f>'SHEET-4'!G29/'SHEET-4'!G14*10^6</f>
        <v>956264.13632842759</v>
      </c>
      <c r="H44" s="139">
        <f>(D44-F44)/F44</f>
        <v>-0.12534782659545649</v>
      </c>
      <c r="I44" s="140">
        <f>(E44-G44)/G44</f>
        <v>4.4147868238533242E-2</v>
      </c>
      <c r="J44" s="5"/>
    </row>
    <row r="45" spans="1:10" ht="23.25" x14ac:dyDescent="0.2">
      <c r="A45" s="13">
        <v>2</v>
      </c>
      <c r="B45" s="14" t="s">
        <v>82</v>
      </c>
      <c r="C45" s="26" t="s">
        <v>37</v>
      </c>
      <c r="D45" s="210">
        <v>0</v>
      </c>
      <c r="E45" s="211">
        <v>0</v>
      </c>
      <c r="F45" s="46">
        <v>0</v>
      </c>
      <c r="G45" s="215">
        <v>0</v>
      </c>
      <c r="H45" s="192" t="e">
        <f t="shared" ref="H45:H55" si="6">(D45-F45)/F45</f>
        <v>#DIV/0!</v>
      </c>
      <c r="I45" s="196" t="e">
        <f t="shared" ref="I45:I54" si="7">(E45-G45)/G45</f>
        <v>#DIV/0!</v>
      </c>
      <c r="J45" s="5"/>
    </row>
    <row r="46" spans="1:10" ht="24" thickBot="1" x14ac:dyDescent="0.25">
      <c r="A46" s="13">
        <v>3</v>
      </c>
      <c r="B46" s="14" t="s">
        <v>7</v>
      </c>
      <c r="C46" s="26" t="s">
        <v>37</v>
      </c>
      <c r="D46" s="212">
        <v>0</v>
      </c>
      <c r="E46" s="113">
        <f t="shared" ref="E46" si="8">D46</f>
        <v>0</v>
      </c>
      <c r="F46" s="46">
        <v>0</v>
      </c>
      <c r="G46" s="215">
        <v>0</v>
      </c>
      <c r="H46" s="52">
        <v>0</v>
      </c>
      <c r="I46" s="93">
        <v>0</v>
      </c>
      <c r="J46" s="5"/>
    </row>
    <row r="47" spans="1:10" ht="24" thickBot="1" x14ac:dyDescent="0.25">
      <c r="A47" s="13">
        <v>4</v>
      </c>
      <c r="B47" s="14" t="s">
        <v>8</v>
      </c>
      <c r="C47" s="26" t="s">
        <v>37</v>
      </c>
      <c r="D47" s="209">
        <f>'SHEET-4'!D32/'SHEET-4'!D17*10^6</f>
        <v>502044.92753623187</v>
      </c>
      <c r="E47" s="209">
        <f>'SHEET-4'!E32/'SHEET-4'!E17*10^6</f>
        <v>998481.1594202898</v>
      </c>
      <c r="F47" s="46">
        <f>'SHEET-4'!F32/'SHEET-4'!F17*10^6</f>
        <v>573993.80325329211</v>
      </c>
      <c r="G47" s="215">
        <f>'SHEET-4'!G32/'SHEET-4'!G17*10^6</f>
        <v>956264.13632842759</v>
      </c>
      <c r="H47" s="52">
        <f t="shared" si="6"/>
        <v>-0.12534782659545649</v>
      </c>
      <c r="I47" s="93">
        <f t="shared" si="7"/>
        <v>4.4147868238533242E-2</v>
      </c>
      <c r="J47" s="5"/>
    </row>
    <row r="48" spans="1:10" ht="23.25" x14ac:dyDescent="0.2">
      <c r="A48" s="13">
        <v>5</v>
      </c>
      <c r="B48" s="14" t="s">
        <v>2</v>
      </c>
      <c r="C48" s="26" t="s">
        <v>37</v>
      </c>
      <c r="D48" s="209">
        <f>'SHEET-4'!D33/'SHEET-4'!D18*10^6</f>
        <v>294.81909950635298</v>
      </c>
      <c r="E48" s="209">
        <f>'SHEET-4'!E33/'SHEET-4'!E18*10^6</f>
        <v>636.87526839243969</v>
      </c>
      <c r="F48" s="46">
        <f>'SHEET-4'!F33/'SHEET-4'!F18*10^6</f>
        <v>297.83971789185159</v>
      </c>
      <c r="G48" s="215">
        <f>'SHEET-4'!G33/'SHEET-4'!G18*10^6</f>
        <v>619.48348109586618</v>
      </c>
      <c r="H48" s="52">
        <f t="shared" si="6"/>
        <v>-1.0141758147230796E-2</v>
      </c>
      <c r="I48" s="93">
        <f t="shared" si="7"/>
        <v>2.8074658691152575E-2</v>
      </c>
      <c r="J48" s="5"/>
    </row>
    <row r="49" spans="1:10" ht="18" customHeight="1" x14ac:dyDescent="0.2">
      <c r="A49" s="13">
        <v>6</v>
      </c>
      <c r="B49" s="14" t="s">
        <v>3</v>
      </c>
      <c r="C49" s="26" t="s">
        <v>37</v>
      </c>
      <c r="D49" s="317">
        <f>'SHEET-4'!D34/'SHEET-4'!D19*10^6</f>
        <v>1252.8043306779032</v>
      </c>
      <c r="E49" s="317">
        <f>'SHEET-4'!E34/'SHEET-4'!E19*10^6</f>
        <v>2718.0976670690552</v>
      </c>
      <c r="F49" s="317">
        <f>'SHEET-4'!F34/'SHEET-4'!F19*10^6</f>
        <v>1246.0089872464221</v>
      </c>
      <c r="G49" s="317">
        <f>'SHEET-4'!G34/'SHEET-4'!G19*10^6</f>
        <v>2474.8590872490195</v>
      </c>
      <c r="H49" s="323">
        <f t="shared" si="6"/>
        <v>5.4536873337473011E-3</v>
      </c>
      <c r="I49" s="322">
        <f t="shared" si="7"/>
        <v>9.8283809802849259E-2</v>
      </c>
      <c r="J49" s="5"/>
    </row>
    <row r="50" spans="1:10" ht="18" customHeight="1" thickBot="1" x14ac:dyDescent="0.25">
      <c r="A50" s="13">
        <v>7</v>
      </c>
      <c r="B50" s="14" t="s">
        <v>1</v>
      </c>
      <c r="C50" s="26" t="s">
        <v>37</v>
      </c>
      <c r="D50" s="317"/>
      <c r="E50" s="317"/>
      <c r="F50" s="317"/>
      <c r="G50" s="317"/>
      <c r="H50" s="323"/>
      <c r="I50" s="322"/>
      <c r="J50" s="5"/>
    </row>
    <row r="51" spans="1:10" ht="24" thickBot="1" x14ac:dyDescent="0.25">
      <c r="A51" s="13">
        <v>8</v>
      </c>
      <c r="B51" s="14" t="s">
        <v>9</v>
      </c>
      <c r="C51" s="26" t="s">
        <v>37</v>
      </c>
      <c r="D51" s="209">
        <f>'SHEET-4'!D36/'SHEET-4'!D21*10^6</f>
        <v>3590.74932695184</v>
      </c>
      <c r="E51" s="209">
        <f>'SHEET-4'!E36/'SHEET-4'!E21*10^6</f>
        <v>7488.1094825007476</v>
      </c>
      <c r="F51" s="46">
        <f>'SHEET-4'!F36/'SHEET-4'!F21*10^6</f>
        <v>3280.8043020808977</v>
      </c>
      <c r="G51" s="215">
        <f>'SHEET-4'!G36/'SHEET-4'!G21*10^6</f>
        <v>7406.2426934767354</v>
      </c>
      <c r="H51" s="52">
        <f t="shared" si="6"/>
        <v>9.4472268484394245E-2</v>
      </c>
      <c r="I51" s="93">
        <f t="shared" si="7"/>
        <v>1.1053754570602816E-2</v>
      </c>
      <c r="J51" s="5"/>
    </row>
    <row r="52" spans="1:10" ht="24" thickBot="1" x14ac:dyDescent="0.25">
      <c r="A52" s="13">
        <v>9</v>
      </c>
      <c r="B52" s="14" t="s">
        <v>10</v>
      </c>
      <c r="C52" s="26" t="s">
        <v>37</v>
      </c>
      <c r="D52" s="209">
        <f>'SHEET-4'!D37/'SHEET-4'!D22*10^6</f>
        <v>439.18833927534206</v>
      </c>
      <c r="E52" s="209">
        <f>'SHEET-4'!E37/'SHEET-4'!E22*10^6</f>
        <v>947.96816596024394</v>
      </c>
      <c r="F52" s="46">
        <f>'SHEET-4'!F37/'SHEET-4'!F22*10^6</f>
        <v>436.36547864743176</v>
      </c>
      <c r="G52" s="215">
        <f>'SHEET-4'!G37/'SHEET-4'!G22*10^6</f>
        <v>898.19568265070313</v>
      </c>
      <c r="H52" s="52">
        <f t="shared" si="6"/>
        <v>6.4690282940348632E-3</v>
      </c>
      <c r="I52" s="93">
        <f t="shared" si="7"/>
        <v>5.5413852761633332E-2</v>
      </c>
      <c r="J52" s="5"/>
    </row>
    <row r="53" spans="1:10" ht="24" thickBot="1" x14ac:dyDescent="0.25">
      <c r="A53" s="13">
        <v>10</v>
      </c>
      <c r="B53" s="14" t="s">
        <v>5</v>
      </c>
      <c r="C53" s="26" t="s">
        <v>37</v>
      </c>
      <c r="D53" s="209">
        <f>'SHEET-4'!D38/'SHEET-4'!D23*10^6</f>
        <v>1780.0787608807962</v>
      </c>
      <c r="E53" s="209">
        <f>'SHEET-4'!E38/'SHEET-4'!E23*10^6</f>
        <v>3698.4715710261335</v>
      </c>
      <c r="F53" s="46">
        <f>'SHEET-4'!F38/'SHEET-4'!F23*10^6</f>
        <v>1023.4428691424645</v>
      </c>
      <c r="G53" s="215">
        <f>'SHEET-4'!G38/'SHEET-4'!G23*10^6</f>
        <v>2683.2132766564005</v>
      </c>
      <c r="H53" s="52">
        <f t="shared" si="6"/>
        <v>0.73930447370483077</v>
      </c>
      <c r="I53" s="93">
        <f t="shared" si="7"/>
        <v>0.3783740574043612</v>
      </c>
      <c r="J53" s="5"/>
    </row>
    <row r="54" spans="1:10" ht="24" thickBot="1" x14ac:dyDescent="0.25">
      <c r="A54" s="13">
        <v>11</v>
      </c>
      <c r="B54" s="14" t="s">
        <v>11</v>
      </c>
      <c r="C54" s="26" t="s">
        <v>37</v>
      </c>
      <c r="D54" s="209">
        <f>'SHEET-4'!D39/'SHEET-4'!D24*10^6</f>
        <v>518.96252265313512</v>
      </c>
      <c r="E54" s="209">
        <f>'SHEET-4'!E39/'SHEET-4'!E24*10^6</f>
        <v>1111.6050743022834</v>
      </c>
      <c r="F54" s="46">
        <f>'SHEET-4'!F39/'SHEET-4'!F24*10^6</f>
        <v>470.44245308609658</v>
      </c>
      <c r="G54" s="215">
        <f>'SHEET-4'!G39/'SHEET-4'!G24*10^6</f>
        <v>1001.8072335438624</v>
      </c>
      <c r="H54" s="52">
        <f t="shared" si="6"/>
        <v>0.10313709838206034</v>
      </c>
      <c r="I54" s="93">
        <f t="shared" si="7"/>
        <v>0.10959976838060402</v>
      </c>
      <c r="J54" s="5"/>
    </row>
    <row r="55" spans="1:10" ht="24" thickBot="1" x14ac:dyDescent="0.25">
      <c r="A55" s="15"/>
      <c r="B55" s="16" t="s">
        <v>12</v>
      </c>
      <c r="C55" s="27" t="s">
        <v>37</v>
      </c>
      <c r="D55" s="209">
        <f>'SHEET-4'!D40/'SHEET-4'!D25*10^6</f>
        <v>920.00776471747145</v>
      </c>
      <c r="E55" s="209">
        <f>'SHEET-4'!E40/'SHEET-4'!E25*10^6</f>
        <v>1909.1516466705878</v>
      </c>
      <c r="F55" s="126">
        <f>'SHEET-4'!F40/'SHEET-4'!F25*10^6</f>
        <v>907.68551654088287</v>
      </c>
      <c r="G55" s="126">
        <f>'SHEET-4'!G40/'SHEET-4'!G25*10^6</f>
        <v>1730.0806670682305</v>
      </c>
      <c r="H55" s="141">
        <f t="shared" si="6"/>
        <v>1.3575459729210705E-2</v>
      </c>
      <c r="I55" s="142">
        <f>(E55-G55)/G55</f>
        <v>0.10350441052312802</v>
      </c>
      <c r="J55" s="5"/>
    </row>
    <row r="56" spans="1:10" ht="23.25" x14ac:dyDescent="0.2">
      <c r="A56" s="8"/>
      <c r="B56" s="8"/>
      <c r="C56" s="8"/>
      <c r="D56" s="25"/>
      <c r="E56" s="25"/>
      <c r="F56" s="25"/>
      <c r="G56" s="47"/>
      <c r="H56" s="8"/>
      <c r="I56" s="8"/>
      <c r="J56" s="5"/>
    </row>
    <row r="57" spans="1:10" x14ac:dyDescent="0.2">
      <c r="A57" s="5"/>
      <c r="B57" s="5"/>
      <c r="C57" s="5"/>
      <c r="D57" s="5"/>
      <c r="E57" s="5"/>
      <c r="F57" s="5"/>
      <c r="G57" s="5"/>
      <c r="H57" s="5"/>
      <c r="I57" s="5"/>
      <c r="J57" s="5"/>
    </row>
    <row r="58" spans="1:10" ht="12.75" customHeight="1" x14ac:dyDescent="0.2">
      <c r="A58" s="267"/>
      <c r="B58" s="267"/>
      <c r="C58" s="5"/>
      <c r="D58" s="5"/>
      <c r="E58" s="5"/>
      <c r="F58" s="5"/>
      <c r="G58" s="5"/>
      <c r="H58" s="5"/>
      <c r="I58" s="5"/>
      <c r="J58" s="5"/>
    </row>
    <row r="59" spans="1:10" x14ac:dyDescent="0.2">
      <c r="A59" s="5"/>
      <c r="B59" s="5"/>
      <c r="C59" s="5"/>
      <c r="D59" s="5"/>
      <c r="E59" s="5"/>
      <c r="F59" s="5"/>
      <c r="G59" s="5"/>
      <c r="H59" s="5"/>
      <c r="I59" s="5"/>
      <c r="J59" s="5"/>
    </row>
    <row r="60" spans="1:10" x14ac:dyDescent="0.2">
      <c r="A60" s="5"/>
      <c r="B60" s="5"/>
      <c r="C60" s="5"/>
      <c r="D60" s="5"/>
      <c r="E60" s="5"/>
      <c r="F60" s="5"/>
      <c r="G60" s="5"/>
      <c r="H60" s="5"/>
      <c r="I60" s="5"/>
      <c r="J60" s="5"/>
    </row>
    <row r="61" spans="1:10" ht="26.25" x14ac:dyDescent="0.4">
      <c r="A61" s="5"/>
      <c r="B61" s="5"/>
      <c r="C61" s="5"/>
      <c r="D61" s="19"/>
      <c r="E61" s="5"/>
      <c r="F61" s="5"/>
      <c r="G61" s="5"/>
      <c r="H61" s="5"/>
      <c r="I61" s="5"/>
      <c r="J61" s="5"/>
    </row>
    <row r="62" spans="1:10" x14ac:dyDescent="0.2">
      <c r="A62" s="5"/>
      <c r="B62" s="5"/>
      <c r="C62" s="5"/>
      <c r="D62" s="43"/>
      <c r="E62" s="5"/>
      <c r="F62" s="5"/>
      <c r="G62" s="5"/>
      <c r="H62" s="5"/>
      <c r="I62" s="5"/>
      <c r="J62" s="5"/>
    </row>
    <row r="63" spans="1:10" ht="24" thickBot="1" x14ac:dyDescent="0.4">
      <c r="A63" s="5"/>
      <c r="B63" s="9"/>
      <c r="C63" s="5"/>
      <c r="D63" s="5"/>
      <c r="E63" s="5"/>
      <c r="F63" s="18"/>
      <c r="G63" s="5"/>
      <c r="H63" s="5"/>
      <c r="I63" s="5"/>
      <c r="J63" s="5"/>
    </row>
    <row r="64" spans="1:10" ht="23.25" x14ac:dyDescent="0.35">
      <c r="A64" s="12"/>
      <c r="B64" s="17"/>
      <c r="C64" s="4"/>
      <c r="D64" s="28"/>
      <c r="E64" s="28"/>
      <c r="F64" s="28"/>
      <c r="G64" s="28"/>
      <c r="H64" s="5"/>
      <c r="I64" s="5"/>
      <c r="J64" s="5"/>
    </row>
    <row r="65" spans="1:10" ht="23.25" x14ac:dyDescent="0.35">
      <c r="A65" s="13"/>
      <c r="B65" s="14"/>
      <c r="C65" s="26"/>
      <c r="D65" s="28"/>
      <c r="E65" s="28"/>
      <c r="F65" s="28"/>
      <c r="G65" s="28"/>
      <c r="H65" s="5"/>
      <c r="I65" s="5"/>
      <c r="J65" s="5"/>
    </row>
    <row r="66" spans="1:10" ht="23.25" x14ac:dyDescent="0.35">
      <c r="A66" s="13"/>
      <c r="B66" s="14"/>
      <c r="C66" s="26"/>
      <c r="D66" s="28"/>
      <c r="E66" s="28"/>
      <c r="F66" s="28"/>
      <c r="G66" s="28"/>
      <c r="H66" s="5"/>
      <c r="I66" s="5"/>
      <c r="J66" s="5"/>
    </row>
    <row r="67" spans="1:10" ht="23.25" x14ac:dyDescent="0.35">
      <c r="A67" s="13"/>
      <c r="B67" s="14"/>
      <c r="C67" s="26"/>
      <c r="D67" s="28"/>
      <c r="E67" s="28"/>
      <c r="F67" s="28"/>
      <c r="G67" s="28"/>
      <c r="H67" s="5"/>
      <c r="I67" s="5"/>
      <c r="J67" s="5"/>
    </row>
    <row r="68" spans="1:10" ht="23.25" x14ac:dyDescent="0.35">
      <c r="A68" s="13"/>
      <c r="B68" s="14"/>
      <c r="C68" s="26"/>
      <c r="D68" s="44">
        <f>3.8</f>
        <v>3.8</v>
      </c>
      <c r="E68" s="28"/>
      <c r="F68" s="28"/>
      <c r="G68" s="28"/>
      <c r="H68" s="5"/>
      <c r="I68" s="5"/>
      <c r="J68" s="5"/>
    </row>
    <row r="69" spans="1:10" ht="23.25" x14ac:dyDescent="0.35">
      <c r="A69" s="13"/>
      <c r="B69" s="14"/>
      <c r="C69" s="26"/>
      <c r="D69" s="44">
        <v>4.25</v>
      </c>
      <c r="E69" s="28"/>
      <c r="F69" s="28"/>
      <c r="G69" s="28"/>
    </row>
    <row r="70" spans="1:10" ht="23.25" x14ac:dyDescent="0.35">
      <c r="A70" s="13"/>
      <c r="B70" s="14"/>
      <c r="C70" s="26"/>
      <c r="D70" s="44">
        <v>4.55</v>
      </c>
      <c r="E70" s="28"/>
      <c r="F70" s="28"/>
      <c r="G70" s="28"/>
    </row>
    <row r="71" spans="1:10" ht="23.25" x14ac:dyDescent="0.35">
      <c r="A71" s="13"/>
      <c r="B71" s="14"/>
      <c r="C71" s="26"/>
      <c r="D71" s="44">
        <v>4.5999999999999996</v>
      </c>
      <c r="E71" s="28"/>
      <c r="F71" s="28"/>
      <c r="G71" s="28"/>
    </row>
    <row r="72" spans="1:10" ht="23.25" x14ac:dyDescent="0.35">
      <c r="A72" s="13"/>
      <c r="B72" s="14"/>
      <c r="C72" s="26"/>
      <c r="D72" s="28"/>
      <c r="E72" s="28"/>
      <c r="F72" s="28"/>
      <c r="G72" s="28"/>
    </row>
    <row r="73" spans="1:10" ht="23.25" x14ac:dyDescent="0.35">
      <c r="A73" s="13"/>
      <c r="B73" s="14"/>
      <c r="C73" s="26"/>
      <c r="D73" s="28"/>
      <c r="E73" s="28"/>
      <c r="F73" s="28"/>
      <c r="G73" s="28"/>
    </row>
    <row r="74" spans="1:10" ht="23.25" x14ac:dyDescent="0.35">
      <c r="A74" s="13"/>
      <c r="B74" s="14"/>
      <c r="C74" s="26"/>
      <c r="D74" s="28"/>
      <c r="E74" s="28"/>
      <c r="F74" s="28"/>
      <c r="G74" s="28"/>
    </row>
    <row r="75" spans="1:10" ht="24" thickBot="1" x14ac:dyDescent="0.4">
      <c r="A75" s="15"/>
      <c r="B75" s="16"/>
      <c r="C75" s="27"/>
      <c r="D75" s="28"/>
      <c r="E75" s="28"/>
      <c r="F75" s="28"/>
      <c r="G75" s="28"/>
    </row>
    <row r="76" spans="1:10" ht="23.25" x14ac:dyDescent="0.35">
      <c r="D76" s="29"/>
      <c r="E76" s="29"/>
      <c r="F76" s="29"/>
      <c r="G76" s="29"/>
    </row>
  </sheetData>
  <mergeCells count="29">
    <mergeCell ref="A58:B58"/>
    <mergeCell ref="H12:H13"/>
    <mergeCell ref="I12:I13"/>
    <mergeCell ref="D13:E13"/>
    <mergeCell ref="D49:D50"/>
    <mergeCell ref="I49:I50"/>
    <mergeCell ref="H34:H35"/>
    <mergeCell ref="I34:I35"/>
    <mergeCell ref="D19:D20"/>
    <mergeCell ref="D34:D35"/>
    <mergeCell ref="H19:H20"/>
    <mergeCell ref="I19:I20"/>
    <mergeCell ref="F13:G13"/>
    <mergeCell ref="E49:E50"/>
    <mergeCell ref="H49:H50"/>
    <mergeCell ref="F49:F50"/>
    <mergeCell ref="E19:E20"/>
    <mergeCell ref="E34:E35"/>
    <mergeCell ref="G49:G50"/>
    <mergeCell ref="F34:F35"/>
    <mergeCell ref="G34:G35"/>
    <mergeCell ref="F19:F20"/>
    <mergeCell ref="G19:G20"/>
    <mergeCell ref="A5:I5"/>
    <mergeCell ref="A9:I9"/>
    <mergeCell ref="A7:I7"/>
    <mergeCell ref="H11:I11"/>
    <mergeCell ref="D11:E11"/>
    <mergeCell ref="F11:G11"/>
  </mergeCells>
  <phoneticPr fontId="2" type="noConversion"/>
  <printOptions horizontalCentered="1" verticalCentered="1"/>
  <pageMargins left="0.511811023622047" right="0.23622047244094499" top="0.15748031496063" bottom="0" header="0.511811023622047" footer="0.511811023622047"/>
  <pageSetup paperSize="9" scale="4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60" zoomScaleNormal="60" workbookViewId="0">
      <selection activeCell="C27" sqref="C27"/>
    </sheetView>
  </sheetViews>
  <sheetFormatPr defaultRowHeight="12.75" x14ac:dyDescent="0.2"/>
  <cols>
    <col min="1" max="1" width="8" style="85" customWidth="1"/>
    <col min="2" max="2" width="67" style="85" customWidth="1"/>
    <col min="3" max="3" width="49.5703125" style="85" customWidth="1"/>
    <col min="4" max="4" width="50.42578125" style="85" customWidth="1"/>
    <col min="5" max="5" width="24.7109375" style="85" customWidth="1"/>
    <col min="6" max="10" width="9.140625" style="85"/>
    <col min="11" max="12" width="13" style="85" bestFit="1" customWidth="1"/>
    <col min="13" max="13" width="17.5703125" style="85" bestFit="1" customWidth="1"/>
    <col min="14" max="16384" width="9.140625" style="85"/>
  </cols>
  <sheetData>
    <row r="1" spans="1:7" ht="33" x14ac:dyDescent="0.2">
      <c r="E1" s="86" t="s">
        <v>227</v>
      </c>
    </row>
    <row r="4" spans="1:7" ht="37.5" x14ac:dyDescent="0.6">
      <c r="A4" s="272" t="s">
        <v>0</v>
      </c>
      <c r="B4" s="272"/>
      <c r="C4" s="272"/>
      <c r="D4" s="272"/>
      <c r="E4" s="272"/>
    </row>
    <row r="5" spans="1:7" ht="18" customHeight="1" x14ac:dyDescent="0.4">
      <c r="A5" s="87"/>
      <c r="B5" s="87"/>
      <c r="C5" s="87"/>
    </row>
    <row r="6" spans="1:7" ht="30" x14ac:dyDescent="0.2">
      <c r="A6" s="273" t="s">
        <v>99</v>
      </c>
      <c r="B6" s="273"/>
      <c r="C6" s="273"/>
      <c r="D6" s="273"/>
      <c r="E6" s="273"/>
    </row>
    <row r="7" spans="1:7" ht="18" customHeight="1" thickBot="1" x14ac:dyDescent="0.25"/>
    <row r="8" spans="1:7" ht="18" customHeight="1" x14ac:dyDescent="0.2">
      <c r="A8" s="88"/>
      <c r="B8" s="89"/>
      <c r="C8" s="130" t="s">
        <v>105</v>
      </c>
      <c r="D8" s="130" t="s">
        <v>66</v>
      </c>
      <c r="E8" s="131" t="s">
        <v>17</v>
      </c>
    </row>
    <row r="9" spans="1:7" ht="18" customHeight="1" x14ac:dyDescent="0.2">
      <c r="A9" s="90"/>
      <c r="B9" s="49"/>
      <c r="C9" s="251" t="s">
        <v>238</v>
      </c>
      <c r="D9" s="237" t="s">
        <v>235</v>
      </c>
      <c r="E9" s="30"/>
    </row>
    <row r="10" spans="1:7" ht="20.25" x14ac:dyDescent="0.2">
      <c r="A10" s="90" t="s">
        <v>38</v>
      </c>
      <c r="B10" s="92" t="s">
        <v>84</v>
      </c>
      <c r="C10" s="148" t="s">
        <v>62</v>
      </c>
      <c r="D10" s="152" t="s">
        <v>62</v>
      </c>
      <c r="E10" s="132"/>
    </row>
    <row r="11" spans="1:7" ht="23.25" x14ac:dyDescent="0.2">
      <c r="A11" s="90">
        <v>1</v>
      </c>
      <c r="B11" s="92" t="s">
        <v>85</v>
      </c>
      <c r="C11" s="149">
        <f>+'SHEET-3'!E26</f>
        <v>4472.97</v>
      </c>
      <c r="D11" s="202">
        <v>3562.71</v>
      </c>
      <c r="E11" s="169">
        <f>(C11-D11)/D11</f>
        <v>0.25549651809998575</v>
      </c>
    </row>
    <row r="12" spans="1:7" ht="23.25" x14ac:dyDescent="0.25">
      <c r="A12" s="90">
        <v>2</v>
      </c>
      <c r="B12" s="92" t="s">
        <v>86</v>
      </c>
      <c r="C12" s="149">
        <f>+'SHEET-3'!E28</f>
        <v>53.68</v>
      </c>
      <c r="D12" s="202">
        <v>105.49</v>
      </c>
      <c r="E12" s="169">
        <f>(C12-D12)/D12</f>
        <v>-0.49113660062565168</v>
      </c>
      <c r="F12" s="189"/>
      <c r="G12" s="203"/>
    </row>
    <row r="13" spans="1:7" ht="23.25" x14ac:dyDescent="0.2">
      <c r="A13" s="90">
        <v>3</v>
      </c>
      <c r="B13" s="92" t="s">
        <v>126</v>
      </c>
      <c r="C13" s="149">
        <v>34.39</v>
      </c>
      <c r="D13" s="202">
        <v>42.42</v>
      </c>
      <c r="E13" s="169">
        <f>(C13-D13)/D13</f>
        <v>-0.18929750117868932</v>
      </c>
    </row>
    <row r="14" spans="1:7" ht="23.25" x14ac:dyDescent="0.2">
      <c r="A14" s="90">
        <v>4</v>
      </c>
      <c r="B14" s="92" t="s">
        <v>87</v>
      </c>
      <c r="C14" s="149">
        <v>143.91</v>
      </c>
      <c r="D14" s="202">
        <v>73.13</v>
      </c>
      <c r="E14" s="169">
        <f>(C14-D14)/D14</f>
        <v>0.96786544509777117</v>
      </c>
    </row>
    <row r="15" spans="1:7" ht="23.25" x14ac:dyDescent="0.2">
      <c r="A15" s="90">
        <v>5</v>
      </c>
      <c r="B15" s="92" t="s">
        <v>120</v>
      </c>
      <c r="C15" s="149">
        <f>SUM(C11:C14)</f>
        <v>4704.9500000000007</v>
      </c>
      <c r="D15" s="202">
        <f>SUM(D11:D14)</f>
        <v>3783.75</v>
      </c>
      <c r="E15" s="169">
        <f>(C15-D15)/D15</f>
        <v>0.24346217376940885</v>
      </c>
    </row>
    <row r="16" spans="1:7" ht="17.25" customHeight="1" x14ac:dyDescent="0.2">
      <c r="A16" s="90"/>
      <c r="B16" s="92"/>
      <c r="C16" s="149"/>
      <c r="D16" s="202"/>
      <c r="E16" s="151"/>
    </row>
    <row r="17" spans="1:11" ht="23.25" customHeight="1" x14ac:dyDescent="0.2">
      <c r="A17" s="90" t="s">
        <v>6</v>
      </c>
      <c r="B17" s="92" t="s">
        <v>88</v>
      </c>
      <c r="C17" s="153"/>
      <c r="D17" s="153"/>
      <c r="E17" s="151"/>
    </row>
    <row r="18" spans="1:11" ht="23.25" x14ac:dyDescent="0.2">
      <c r="A18" s="90"/>
      <c r="B18" s="92" t="s">
        <v>89</v>
      </c>
      <c r="C18" s="153"/>
      <c r="D18" s="153"/>
      <c r="E18" s="151"/>
      <c r="K18" s="85" t="s">
        <v>128</v>
      </c>
    </row>
    <row r="19" spans="1:11" ht="18" customHeight="1" x14ac:dyDescent="0.2">
      <c r="A19" s="90">
        <v>1</v>
      </c>
      <c r="B19" s="92" t="s">
        <v>109</v>
      </c>
      <c r="C19" s="258">
        <v>4292.05</v>
      </c>
      <c r="D19" s="258">
        <v>3243.51</v>
      </c>
      <c r="E19" s="327">
        <f>(C19-D19)/D19</f>
        <v>0.32327324410900532</v>
      </c>
    </row>
    <row r="20" spans="1:11" ht="18" customHeight="1" x14ac:dyDescent="0.2">
      <c r="A20" s="90">
        <v>2</v>
      </c>
      <c r="B20" s="92" t="s">
        <v>90</v>
      </c>
      <c r="C20" s="259"/>
      <c r="D20" s="259"/>
      <c r="E20" s="328"/>
    </row>
    <row r="21" spans="1:11" ht="18" customHeight="1" x14ac:dyDescent="0.2">
      <c r="A21" s="90">
        <v>3</v>
      </c>
      <c r="B21" s="92" t="s">
        <v>91</v>
      </c>
      <c r="C21" s="260"/>
      <c r="D21" s="260"/>
      <c r="E21" s="329"/>
    </row>
    <row r="22" spans="1:11" ht="23.25" x14ac:dyDescent="0.2">
      <c r="A22" s="90">
        <v>4</v>
      </c>
      <c r="B22" s="92" t="s">
        <v>92</v>
      </c>
      <c r="C22" s="170"/>
      <c r="D22" s="202"/>
      <c r="E22" s="169">
        <v>0</v>
      </c>
    </row>
    <row r="23" spans="1:11" ht="25.5" customHeight="1" x14ac:dyDescent="0.2">
      <c r="A23" s="90">
        <v>5</v>
      </c>
      <c r="B23" s="92" t="s">
        <v>93</v>
      </c>
      <c r="C23" s="170">
        <f>+'SHEET-3'!E16</f>
        <v>291.8</v>
      </c>
      <c r="D23" s="202">
        <v>263.10000000000002</v>
      </c>
      <c r="E23" s="169">
        <f>(C23-D23)/D23</f>
        <v>0.10908399847966548</v>
      </c>
    </row>
    <row r="24" spans="1:11" ht="23.25" x14ac:dyDescent="0.2">
      <c r="A24" s="90">
        <v>6</v>
      </c>
      <c r="B24" s="92" t="s">
        <v>27</v>
      </c>
      <c r="C24" s="170">
        <f>+'SHEET-3'!E18</f>
        <v>40.86</v>
      </c>
      <c r="D24" s="202">
        <v>40.64</v>
      </c>
      <c r="E24" s="169">
        <f>(C24-D24)/D24</f>
        <v>5.4133858267716257E-3</v>
      </c>
    </row>
    <row r="25" spans="1:11" ht="23.25" x14ac:dyDescent="0.2">
      <c r="A25" s="90">
        <v>7</v>
      </c>
      <c r="B25" s="92" t="s">
        <v>94</v>
      </c>
      <c r="C25" s="170">
        <v>46.94</v>
      </c>
      <c r="D25" s="202">
        <v>42.19</v>
      </c>
      <c r="E25" s="169">
        <f>(C25-D25)/D25</f>
        <v>0.11258592083432094</v>
      </c>
    </row>
    <row r="26" spans="1:11" ht="23.25" x14ac:dyDescent="0.2">
      <c r="A26" s="90">
        <v>8</v>
      </c>
      <c r="B26" s="92" t="s">
        <v>95</v>
      </c>
      <c r="C26" s="170">
        <f>+'SHEET-3'!E22</f>
        <v>26.3</v>
      </c>
      <c r="D26" s="202">
        <v>12.28</v>
      </c>
      <c r="E26" s="234">
        <f>(C26-D26)/D26</f>
        <v>1.1416938110749186</v>
      </c>
    </row>
    <row r="27" spans="1:11" ht="12.75" customHeight="1" x14ac:dyDescent="0.2">
      <c r="A27" s="90"/>
      <c r="B27" s="92"/>
      <c r="C27" s="170"/>
      <c r="D27" s="202"/>
      <c r="E27" s="151"/>
    </row>
    <row r="28" spans="1:11" ht="23.25" x14ac:dyDescent="0.2">
      <c r="A28" s="90">
        <v>9</v>
      </c>
      <c r="B28" s="92" t="s">
        <v>28</v>
      </c>
      <c r="C28" s="170">
        <f>+'SHEET-3'!E19</f>
        <v>134.76</v>
      </c>
      <c r="D28" s="202">
        <v>142.72999999999999</v>
      </c>
      <c r="E28" s="169">
        <f t="shared" ref="E28:E33" si="0">(C28-D28)/D28</f>
        <v>-5.5839697330624251E-2</v>
      </c>
    </row>
    <row r="29" spans="1:11" ht="27" customHeight="1" x14ac:dyDescent="0.2">
      <c r="A29" s="90">
        <v>10</v>
      </c>
      <c r="B29" s="92" t="s">
        <v>26</v>
      </c>
      <c r="C29" s="170">
        <f>+'SHEET-3'!E17</f>
        <v>24.28</v>
      </c>
      <c r="D29" s="202">
        <v>27.25</v>
      </c>
      <c r="E29" s="169">
        <f t="shared" si="0"/>
        <v>-0.10899082568807335</v>
      </c>
    </row>
    <row r="30" spans="1:11" ht="23.25" x14ac:dyDescent="0.2">
      <c r="A30" s="90">
        <v>11</v>
      </c>
      <c r="B30" s="92" t="s">
        <v>96</v>
      </c>
      <c r="C30" s="170">
        <v>0</v>
      </c>
      <c r="D30" s="202">
        <v>0</v>
      </c>
      <c r="E30" s="169" t="e">
        <f t="shared" si="0"/>
        <v>#DIV/0!</v>
      </c>
    </row>
    <row r="31" spans="1:11" ht="23.25" x14ac:dyDescent="0.2">
      <c r="A31" s="90">
        <v>12</v>
      </c>
      <c r="B31" s="92" t="s">
        <v>230</v>
      </c>
      <c r="C31" s="170">
        <f>+'SHEET-3'!E22*0</f>
        <v>0</v>
      </c>
      <c r="D31" s="202">
        <v>0</v>
      </c>
      <c r="E31" s="169">
        <v>0</v>
      </c>
    </row>
    <row r="32" spans="1:11" ht="23.25" x14ac:dyDescent="0.2">
      <c r="A32" s="90">
        <v>13</v>
      </c>
      <c r="B32" s="92" t="s">
        <v>97</v>
      </c>
      <c r="C32" s="170">
        <v>0</v>
      </c>
      <c r="D32" s="202">
        <v>-20.11</v>
      </c>
      <c r="E32" s="169"/>
    </row>
    <row r="33" spans="1:13" ht="23.25" x14ac:dyDescent="0.2">
      <c r="A33" s="90">
        <v>14</v>
      </c>
      <c r="B33" s="92" t="s">
        <v>231</v>
      </c>
      <c r="C33" s="22">
        <f>SUM(C19:C32)</f>
        <v>4856.99</v>
      </c>
      <c r="D33" s="22">
        <f>SUM(D19:D32)</f>
        <v>3751.59</v>
      </c>
      <c r="E33" s="169">
        <f t="shared" si="0"/>
        <v>0.29464840241071111</v>
      </c>
    </row>
    <row r="34" spans="1:13" ht="15" customHeight="1" x14ac:dyDescent="0.2">
      <c r="A34" s="90"/>
      <c r="B34" s="92"/>
      <c r="C34" s="22"/>
      <c r="D34" s="22"/>
      <c r="E34" s="177" t="s">
        <v>232</v>
      </c>
    </row>
    <row r="35" spans="1:13" ht="48" customHeight="1" x14ac:dyDescent="0.3">
      <c r="A35" s="90" t="s">
        <v>45</v>
      </c>
      <c r="B35" s="92" t="s">
        <v>98</v>
      </c>
      <c r="C35" s="252">
        <f>C15-C33</f>
        <v>-152.03999999999905</v>
      </c>
      <c r="D35" s="202">
        <f>D15-D33</f>
        <v>32.159999999999854</v>
      </c>
      <c r="E35" s="169">
        <f>(C35-D35)/D35</f>
        <v>-5.7276119402984991</v>
      </c>
      <c r="F35" s="97"/>
      <c r="K35" s="133"/>
      <c r="L35" s="133"/>
      <c r="M35" s="134"/>
    </row>
    <row r="36" spans="1:13" ht="23.25" x14ac:dyDescent="0.2">
      <c r="A36" s="90"/>
      <c r="B36" s="92"/>
      <c r="C36" s="20"/>
      <c r="D36" s="20"/>
      <c r="E36" s="138"/>
    </row>
    <row r="37" spans="1:13" ht="23.25" customHeight="1" thickBot="1" x14ac:dyDescent="0.25">
      <c r="A37" s="330" t="s">
        <v>127</v>
      </c>
      <c r="B37" s="331"/>
      <c r="C37" s="331"/>
      <c r="D37" s="331"/>
      <c r="E37" s="332"/>
    </row>
    <row r="40" spans="1:13" ht="12.75" customHeight="1" x14ac:dyDescent="0.2">
      <c r="A40" s="267"/>
      <c r="B40" s="267"/>
    </row>
    <row r="41" spans="1:13" x14ac:dyDescent="0.2">
      <c r="D41" s="97"/>
    </row>
    <row r="44" spans="1:13" ht="20.100000000000001" customHeight="1" x14ac:dyDescent="0.3">
      <c r="C44" s="24"/>
      <c r="D44" s="24"/>
    </row>
    <row r="45" spans="1:13" ht="20.100000000000001" customHeight="1" x14ac:dyDescent="0.2"/>
    <row r="46" spans="1:13" ht="20.100000000000001" customHeight="1" x14ac:dyDescent="0.2"/>
    <row r="47" spans="1:13" ht="20.100000000000001" customHeight="1" x14ac:dyDescent="0.2"/>
    <row r="48" spans="1:13" ht="20.100000000000001" customHeight="1" x14ac:dyDescent="0.2"/>
    <row r="49" spans="3:4" ht="20.100000000000001" customHeight="1" x14ac:dyDescent="0.35">
      <c r="C49" s="24"/>
      <c r="D49" s="135"/>
    </row>
    <row r="50" spans="3:4" ht="20.100000000000001" customHeight="1" x14ac:dyDescent="0.2"/>
    <row r="54" spans="3:4" ht="60" customHeight="1" x14ac:dyDescent="0.2"/>
  </sheetData>
  <mergeCells count="7">
    <mergeCell ref="A40:B40"/>
    <mergeCell ref="A4:E4"/>
    <mergeCell ref="A6:E6"/>
    <mergeCell ref="E19:E21"/>
    <mergeCell ref="C19:C21"/>
    <mergeCell ref="D19:D21"/>
    <mergeCell ref="A37:E37"/>
  </mergeCells>
  <phoneticPr fontId="2" type="noConversion"/>
  <printOptions horizontalCentered="1" verticalCentered="1"/>
  <pageMargins left="0.5" right="0.25" top="0.25" bottom="0" header="0.5" footer="0.5"/>
  <pageSetup paperSize="9" scale="5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13"/>
  <sheetViews>
    <sheetView tabSelected="1" view="pageBreakPreview" zoomScale="115" zoomScaleSheetLayoutView="115" workbookViewId="0">
      <selection activeCell="K11" sqref="K11"/>
    </sheetView>
  </sheetViews>
  <sheetFormatPr defaultRowHeight="12.75" x14ac:dyDescent="0.2"/>
  <cols>
    <col min="1" max="1" width="1.85546875" style="384" customWidth="1"/>
    <col min="2" max="2" width="4.7109375" style="384" customWidth="1"/>
    <col min="3" max="3" width="25.85546875" style="429" customWidth="1"/>
    <col min="4" max="4" width="5" style="384" customWidth="1"/>
    <col min="5" max="5" width="15.28515625" style="384" customWidth="1"/>
    <col min="6" max="6" width="19" style="384" customWidth="1"/>
    <col min="7" max="7" width="15.28515625" style="384" customWidth="1"/>
    <col min="8" max="8" width="15.85546875" style="384" customWidth="1"/>
    <col min="9" max="9" width="18.5703125" style="384" customWidth="1"/>
    <col min="10" max="12" width="12.5703125" style="384" customWidth="1"/>
    <col min="13" max="13" width="13.28515625" style="384" customWidth="1"/>
    <col min="14" max="17" width="12.5703125" style="384" customWidth="1"/>
    <col min="18" max="18" width="2.7109375" style="384" customWidth="1"/>
    <col min="19" max="22" width="12.5703125" style="384" customWidth="1"/>
    <col min="23" max="16384" width="9.140625" style="384"/>
  </cols>
  <sheetData>
    <row r="1" spans="2:19" ht="39" customHeight="1" x14ac:dyDescent="0.2">
      <c r="B1" s="383" t="s">
        <v>271</v>
      </c>
      <c r="C1" s="383"/>
      <c r="D1" s="383"/>
      <c r="E1" s="383"/>
      <c r="F1" s="383"/>
      <c r="G1" s="383"/>
      <c r="H1" s="383"/>
      <c r="I1" s="383"/>
    </row>
    <row r="2" spans="2:19" ht="30.75" customHeight="1" x14ac:dyDescent="0.2">
      <c r="B2" s="385" t="s">
        <v>272</v>
      </c>
      <c r="C2" s="386"/>
      <c r="D2" s="386"/>
      <c r="E2" s="386"/>
      <c r="F2" s="386"/>
      <c r="H2" s="386"/>
      <c r="I2" s="387" t="s">
        <v>273</v>
      </c>
    </row>
    <row r="3" spans="2:19" ht="33" customHeight="1" thickBot="1" x14ac:dyDescent="0.25">
      <c r="B3" s="388" t="s">
        <v>274</v>
      </c>
      <c r="C3" s="388"/>
      <c r="D3" s="388"/>
      <c r="E3" s="388"/>
      <c r="F3" s="388"/>
      <c r="G3" s="388"/>
      <c r="H3" s="388"/>
      <c r="I3" s="388"/>
    </row>
    <row r="4" spans="2:19" ht="48.75" customHeight="1" x14ac:dyDescent="0.2">
      <c r="B4" s="389" t="s">
        <v>275</v>
      </c>
      <c r="C4" s="390" t="s">
        <v>276</v>
      </c>
      <c r="D4" s="391"/>
      <c r="E4" s="392" t="s">
        <v>277</v>
      </c>
      <c r="F4" s="393" t="s">
        <v>278</v>
      </c>
      <c r="G4" s="393"/>
      <c r="H4" s="393" t="s">
        <v>279</v>
      </c>
      <c r="I4" s="394"/>
      <c r="L4" s="395"/>
    </row>
    <row r="5" spans="2:19" ht="25.5" customHeight="1" x14ac:dyDescent="0.2">
      <c r="B5" s="396"/>
      <c r="C5" s="397" t="s">
        <v>280</v>
      </c>
      <c r="D5" s="398" t="s">
        <v>281</v>
      </c>
      <c r="E5" s="399"/>
      <c r="F5" s="400">
        <v>69860</v>
      </c>
      <c r="G5" s="400"/>
      <c r="H5" s="401">
        <v>124928</v>
      </c>
      <c r="I5" s="402"/>
      <c r="K5" s="403"/>
      <c r="L5" s="404"/>
      <c r="M5" s="404"/>
    </row>
    <row r="6" spans="2:19" ht="25.5" customHeight="1" x14ac:dyDescent="0.2">
      <c r="B6" s="396"/>
      <c r="C6" s="397" t="s">
        <v>282</v>
      </c>
      <c r="D6" s="398" t="s">
        <v>281</v>
      </c>
      <c r="E6" s="399"/>
      <c r="F6" s="400">
        <v>8805</v>
      </c>
      <c r="G6" s="400"/>
      <c r="H6" s="401">
        <v>16521</v>
      </c>
      <c r="I6" s="402"/>
      <c r="K6" s="403"/>
      <c r="L6" s="404"/>
      <c r="M6" s="404"/>
    </row>
    <row r="7" spans="2:19" ht="25.5" customHeight="1" thickBot="1" x14ac:dyDescent="0.25">
      <c r="B7" s="405"/>
      <c r="C7" s="406" t="s">
        <v>257</v>
      </c>
      <c r="D7" s="407" t="s">
        <v>281</v>
      </c>
      <c r="E7" s="408"/>
      <c r="F7" s="409">
        <f>SUM(F5:F6)</f>
        <v>78665</v>
      </c>
      <c r="G7" s="409"/>
      <c r="H7" s="410">
        <f>SUM(H5:H6)</f>
        <v>141449</v>
      </c>
      <c r="I7" s="411"/>
      <c r="K7" s="412"/>
    </row>
    <row r="8" spans="2:19" s="414" customFormat="1" ht="48.75" customHeight="1" x14ac:dyDescent="0.2">
      <c r="B8" s="389" t="s">
        <v>283</v>
      </c>
      <c r="C8" s="390" t="s">
        <v>284</v>
      </c>
      <c r="D8" s="391"/>
      <c r="E8" s="392" t="s">
        <v>285</v>
      </c>
      <c r="F8" s="392" t="s">
        <v>286</v>
      </c>
      <c r="G8" s="392" t="s">
        <v>287</v>
      </c>
      <c r="H8" s="392" t="s">
        <v>288</v>
      </c>
      <c r="I8" s="413" t="s">
        <v>289</v>
      </c>
      <c r="K8" s="415"/>
      <c r="L8" s="416"/>
      <c r="M8" s="416"/>
    </row>
    <row r="9" spans="2:19" ht="25.5" customHeight="1" x14ac:dyDescent="0.2">
      <c r="B9" s="396"/>
      <c r="C9" s="397" t="s">
        <v>280</v>
      </c>
      <c r="D9" s="398" t="s">
        <v>281</v>
      </c>
      <c r="E9" s="417">
        <v>6469</v>
      </c>
      <c r="F9" s="418">
        <f>26017+916</f>
        <v>26933</v>
      </c>
      <c r="G9" s="417">
        <f>F9+E9</f>
        <v>33402</v>
      </c>
      <c r="H9" s="418">
        <v>26150</v>
      </c>
      <c r="I9" s="419">
        <f>G9-H9</f>
        <v>7252</v>
      </c>
      <c r="J9" s="404"/>
      <c r="K9" s="420"/>
      <c r="L9" s="420"/>
    </row>
    <row r="10" spans="2:19" ht="25.5" customHeight="1" x14ac:dyDescent="0.2">
      <c r="B10" s="396"/>
      <c r="C10" s="397" t="s">
        <v>282</v>
      </c>
      <c r="D10" s="398" t="s">
        <v>281</v>
      </c>
      <c r="E10" s="417">
        <v>1620</v>
      </c>
      <c r="F10" s="418">
        <f>3462-51</f>
        <v>3411</v>
      </c>
      <c r="G10" s="417">
        <f>F10+E10</f>
        <v>5031</v>
      </c>
      <c r="H10" s="418">
        <v>4421</v>
      </c>
      <c r="I10" s="419">
        <f>G10-H10</f>
        <v>610</v>
      </c>
      <c r="J10" s="404"/>
      <c r="K10" s="420"/>
      <c r="L10" s="420"/>
    </row>
    <row r="11" spans="2:19" ht="25.5" customHeight="1" thickBot="1" x14ac:dyDescent="0.25">
      <c r="B11" s="405"/>
      <c r="C11" s="406" t="s">
        <v>257</v>
      </c>
      <c r="D11" s="407" t="s">
        <v>281</v>
      </c>
      <c r="E11" s="421">
        <f>E9+E10</f>
        <v>8089</v>
      </c>
      <c r="F11" s="421">
        <f>F9+F10</f>
        <v>30344</v>
      </c>
      <c r="G11" s="421">
        <f t="shared" ref="G11:I11" si="0">SUM(G9:G10)</f>
        <v>38433</v>
      </c>
      <c r="H11" s="421">
        <f t="shared" si="0"/>
        <v>30571</v>
      </c>
      <c r="I11" s="422">
        <f t="shared" si="0"/>
        <v>7862</v>
      </c>
      <c r="K11" s="420"/>
      <c r="L11" s="420"/>
    </row>
    <row r="12" spans="2:19" s="426" customFormat="1" ht="50.25" customHeight="1" thickBot="1" x14ac:dyDescent="0.25">
      <c r="B12" s="423" t="s">
        <v>290</v>
      </c>
      <c r="C12" s="424"/>
      <c r="D12" s="424"/>
      <c r="E12" s="424"/>
      <c r="F12" s="424"/>
      <c r="G12" s="424"/>
      <c r="H12" s="424"/>
      <c r="I12" s="425"/>
    </row>
    <row r="13" spans="2:19" s="414" customFormat="1" ht="20.25" customHeight="1" x14ac:dyDescent="0.2">
      <c r="C13" s="427"/>
      <c r="D13" s="427"/>
      <c r="E13" s="427"/>
      <c r="F13" s="427"/>
      <c r="G13" s="427"/>
      <c r="H13" s="427"/>
      <c r="S13" s="428"/>
    </row>
  </sheetData>
  <mergeCells count="15">
    <mergeCell ref="F7:G7"/>
    <mergeCell ref="H7:I7"/>
    <mergeCell ref="B8:B11"/>
    <mergeCell ref="C8:D8"/>
    <mergeCell ref="B12:I12"/>
    <mergeCell ref="B1:I1"/>
    <mergeCell ref="B3:I3"/>
    <mergeCell ref="B4:B7"/>
    <mergeCell ref="C4:D4"/>
    <mergeCell ref="F4:G4"/>
    <mergeCell ref="H4:I4"/>
    <mergeCell ref="F5:G5"/>
    <mergeCell ref="H5:I5"/>
    <mergeCell ref="F6:G6"/>
    <mergeCell ref="H6:I6"/>
  </mergeCells>
  <printOptions horizontalCentered="1" verticalCentered="1"/>
  <pageMargins left="0.70866141732283472" right="0.70866141732283472" top="0.74803149606299213" bottom="0.74803149606299213" header="0.31496062992125984" footer="0.31496062992125984"/>
  <pageSetup paperSize="9" orientation="landscape" blackAndWhite="1"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32"/>
  <sheetViews>
    <sheetView view="pageBreakPreview" zoomScale="115" zoomScaleSheetLayoutView="115" workbookViewId="0">
      <selection activeCell="H19" sqref="H19"/>
    </sheetView>
  </sheetViews>
  <sheetFormatPr defaultRowHeight="12.75" x14ac:dyDescent="0.2"/>
  <cols>
    <col min="1" max="1" width="1.5703125" style="336" customWidth="1"/>
    <col min="2" max="2" width="9.140625" style="336" customWidth="1"/>
    <col min="3" max="3" width="12.28515625" style="336" customWidth="1"/>
    <col min="4" max="4" width="9.140625" style="336" customWidth="1"/>
    <col min="5" max="5" width="14.7109375" style="336" customWidth="1"/>
    <col min="6" max="6" width="9.140625" style="336" customWidth="1"/>
    <col min="7" max="7" width="2" style="336" customWidth="1"/>
    <col min="8" max="8" width="9.140625" style="336"/>
    <col min="9" max="9" width="14.7109375" style="336" customWidth="1"/>
    <col min="10" max="10" width="9.140625" style="336"/>
    <col min="11" max="11" width="14.5703125" style="336" customWidth="1"/>
    <col min="12" max="12" width="16.42578125" style="336" customWidth="1"/>
    <col min="13" max="16384" width="9.140625" style="336"/>
  </cols>
  <sheetData>
    <row r="1" spans="2:12" ht="24.75" customHeight="1" thickBot="1" x14ac:dyDescent="0.25">
      <c r="B1" s="333" t="s">
        <v>239</v>
      </c>
      <c r="C1" s="334"/>
      <c r="D1" s="334"/>
      <c r="E1" s="334"/>
      <c r="F1" s="334"/>
      <c r="G1" s="334"/>
      <c r="H1" s="334"/>
      <c r="I1" s="334"/>
      <c r="J1" s="334"/>
      <c r="K1" s="334"/>
      <c r="L1" s="335"/>
    </row>
    <row r="2" spans="2:12" ht="9" customHeight="1" x14ac:dyDescent="0.2">
      <c r="B2" s="337"/>
      <c r="C2" s="337"/>
      <c r="D2" s="337"/>
      <c r="E2" s="337"/>
      <c r="F2" s="337"/>
      <c r="G2" s="337"/>
      <c r="H2" s="337"/>
      <c r="I2" s="337"/>
      <c r="J2" s="337"/>
      <c r="K2" s="337"/>
      <c r="L2" s="337"/>
    </row>
    <row r="3" spans="2:12" ht="21.75" customHeight="1" thickBot="1" x14ac:dyDescent="0.25">
      <c r="B3" s="338" t="s">
        <v>240</v>
      </c>
      <c r="C3" s="339"/>
      <c r="D3" s="339"/>
      <c r="E3" s="339"/>
      <c r="F3" s="339"/>
      <c r="G3" s="339"/>
      <c r="H3" s="339"/>
      <c r="I3" s="339"/>
      <c r="J3" s="339"/>
      <c r="K3" s="339"/>
      <c r="L3" s="340"/>
    </row>
    <row r="4" spans="2:12" ht="27.75" customHeight="1" x14ac:dyDescent="0.2">
      <c r="B4" s="341" t="s">
        <v>199</v>
      </c>
      <c r="C4" s="342" t="s">
        <v>241</v>
      </c>
      <c r="D4" s="342" t="s">
        <v>242</v>
      </c>
      <c r="E4" s="342"/>
      <c r="F4" s="342"/>
      <c r="G4" s="343"/>
      <c r="H4" s="342" t="s">
        <v>243</v>
      </c>
      <c r="I4" s="342"/>
      <c r="J4" s="342"/>
      <c r="K4" s="342" t="s">
        <v>244</v>
      </c>
      <c r="L4" s="344" t="s">
        <v>245</v>
      </c>
    </row>
    <row r="5" spans="2:12" ht="68.25" customHeight="1" x14ac:dyDescent="0.2">
      <c r="B5" s="345"/>
      <c r="C5" s="346"/>
      <c r="D5" s="347" t="s">
        <v>246</v>
      </c>
      <c r="E5" s="347" t="s">
        <v>247</v>
      </c>
      <c r="F5" s="347" t="s">
        <v>248</v>
      </c>
      <c r="G5" s="348"/>
      <c r="H5" s="347" t="s">
        <v>246</v>
      </c>
      <c r="I5" s="347" t="s">
        <v>249</v>
      </c>
      <c r="J5" s="347" t="s">
        <v>248</v>
      </c>
      <c r="K5" s="346"/>
      <c r="L5" s="349"/>
    </row>
    <row r="6" spans="2:12" s="357" customFormat="1" ht="21" customHeight="1" x14ac:dyDescent="0.2">
      <c r="B6" s="350" t="s">
        <v>250</v>
      </c>
      <c r="C6" s="351" t="s">
        <v>251</v>
      </c>
      <c r="D6" s="352">
        <v>37</v>
      </c>
      <c r="E6" s="353">
        <v>0</v>
      </c>
      <c r="F6" s="354">
        <v>1.9113985579763009</v>
      </c>
      <c r="G6" s="355"/>
      <c r="H6" s="352">
        <v>33</v>
      </c>
      <c r="I6" s="353">
        <v>4</v>
      </c>
      <c r="J6" s="354">
        <v>2.3963700648287491</v>
      </c>
      <c r="K6" s="351">
        <v>0</v>
      </c>
      <c r="L6" s="356" t="s">
        <v>252</v>
      </c>
    </row>
    <row r="7" spans="2:12" s="357" customFormat="1" ht="21" customHeight="1" x14ac:dyDescent="0.2">
      <c r="B7" s="358"/>
      <c r="C7" s="351" t="s">
        <v>253</v>
      </c>
      <c r="D7" s="352">
        <v>16</v>
      </c>
      <c r="E7" s="353">
        <v>0</v>
      </c>
      <c r="F7" s="354">
        <v>2.3165591326981803</v>
      </c>
      <c r="G7" s="355"/>
      <c r="H7" s="352">
        <v>16</v>
      </c>
      <c r="I7" s="353">
        <v>0</v>
      </c>
      <c r="J7" s="354">
        <v>2.3206827388865126</v>
      </c>
      <c r="K7" s="351">
        <v>0</v>
      </c>
      <c r="L7" s="359"/>
    </row>
    <row r="8" spans="2:12" s="357" customFormat="1" ht="21" customHeight="1" x14ac:dyDescent="0.2">
      <c r="B8" s="358"/>
      <c r="C8" s="351" t="s">
        <v>254</v>
      </c>
      <c r="D8" s="352">
        <v>17</v>
      </c>
      <c r="E8" s="353">
        <v>0</v>
      </c>
      <c r="F8" s="354">
        <v>-1.2947983526589115</v>
      </c>
      <c r="G8" s="355"/>
      <c r="H8" s="352">
        <v>17</v>
      </c>
      <c r="I8" s="353">
        <v>0</v>
      </c>
      <c r="J8" s="354">
        <v>0.52791538465929466</v>
      </c>
      <c r="K8" s="351">
        <v>0</v>
      </c>
      <c r="L8" s="359"/>
    </row>
    <row r="9" spans="2:12" s="357" customFormat="1" ht="21" customHeight="1" x14ac:dyDescent="0.2">
      <c r="B9" s="358"/>
      <c r="C9" s="351" t="s">
        <v>255</v>
      </c>
      <c r="D9" s="352">
        <v>1</v>
      </c>
      <c r="E9" s="353">
        <v>0</v>
      </c>
      <c r="F9" s="354">
        <v>2.0869005823940299</v>
      </c>
      <c r="G9" s="355"/>
      <c r="H9" s="352">
        <v>1</v>
      </c>
      <c r="I9" s="353">
        <v>0</v>
      </c>
      <c r="J9" s="354">
        <v>2.2170987863841956</v>
      </c>
      <c r="K9" s="351">
        <v>0</v>
      </c>
      <c r="L9" s="359"/>
    </row>
    <row r="10" spans="2:12" s="357" customFormat="1" ht="21" customHeight="1" x14ac:dyDescent="0.2">
      <c r="B10" s="358"/>
      <c r="C10" s="351" t="s">
        <v>256</v>
      </c>
      <c r="D10" s="352">
        <v>17</v>
      </c>
      <c r="E10" s="353">
        <v>0</v>
      </c>
      <c r="F10" s="354">
        <v>1.8636242636106914</v>
      </c>
      <c r="G10" s="355"/>
      <c r="H10" s="352">
        <v>16</v>
      </c>
      <c r="I10" s="353">
        <v>0</v>
      </c>
      <c r="J10" s="354">
        <v>-0.53445481883366397</v>
      </c>
      <c r="K10" s="351">
        <v>0</v>
      </c>
      <c r="L10" s="359"/>
    </row>
    <row r="11" spans="2:12" s="357" customFormat="1" ht="21" customHeight="1" x14ac:dyDescent="0.2">
      <c r="B11" s="358"/>
      <c r="C11" s="360" t="s">
        <v>257</v>
      </c>
      <c r="D11" s="361">
        <f>SUM(D6:D10)</f>
        <v>88</v>
      </c>
      <c r="E11" s="361">
        <f>SUM(E6:E10)</f>
        <v>0</v>
      </c>
      <c r="F11" s="362">
        <v>1.589984721482758</v>
      </c>
      <c r="G11" s="363"/>
      <c r="H11" s="361">
        <f>SUM(H6:H10)</f>
        <v>83</v>
      </c>
      <c r="I11" s="361">
        <f>SUM(I6:I10)</f>
        <v>4</v>
      </c>
      <c r="J11" s="362">
        <v>1.5361789945082678</v>
      </c>
      <c r="K11" s="364">
        <f>SUM(K6:K10)</f>
        <v>0</v>
      </c>
      <c r="L11" s="359"/>
    </row>
    <row r="12" spans="2:12" s="372" customFormat="1" ht="12.75" customHeight="1" thickBot="1" x14ac:dyDescent="0.25">
      <c r="B12" s="365"/>
      <c r="C12" s="366"/>
      <c r="D12" s="367"/>
      <c r="E12" s="368"/>
      <c r="F12" s="369"/>
      <c r="G12" s="348"/>
      <c r="H12" s="367"/>
      <c r="I12" s="368"/>
      <c r="J12" s="369"/>
      <c r="K12" s="370"/>
      <c r="L12" s="371"/>
    </row>
    <row r="13" spans="2:12" s="357" customFormat="1" ht="27.75" customHeight="1" x14ac:dyDescent="0.2">
      <c r="B13" s="341" t="s">
        <v>199</v>
      </c>
      <c r="C13" s="342" t="s">
        <v>241</v>
      </c>
      <c r="D13" s="342" t="str">
        <f>D4</f>
        <v>Q-II-Jul to Sep-22</v>
      </c>
      <c r="E13" s="342"/>
      <c r="F13" s="342"/>
      <c r="G13" s="343"/>
      <c r="H13" s="342" t="str">
        <f>H4</f>
        <v>Q-II-Jul to Sep-21</v>
      </c>
      <c r="I13" s="342"/>
      <c r="J13" s="342"/>
      <c r="K13" s="342" t="s">
        <v>258</v>
      </c>
      <c r="L13" s="344" t="s">
        <v>245</v>
      </c>
    </row>
    <row r="14" spans="2:12" ht="79.5" customHeight="1" x14ac:dyDescent="0.2">
      <c r="B14" s="345"/>
      <c r="C14" s="346"/>
      <c r="D14" s="347" t="s">
        <v>246</v>
      </c>
      <c r="E14" s="347" t="s">
        <v>259</v>
      </c>
      <c r="F14" s="347" t="s">
        <v>248</v>
      </c>
      <c r="G14" s="348"/>
      <c r="H14" s="347" t="s">
        <v>246</v>
      </c>
      <c r="I14" s="347" t="s">
        <v>260</v>
      </c>
      <c r="J14" s="347" t="s">
        <v>248</v>
      </c>
      <c r="K14" s="346"/>
      <c r="L14" s="349"/>
    </row>
    <row r="15" spans="2:12" s="357" customFormat="1" ht="21" customHeight="1" x14ac:dyDescent="0.2">
      <c r="B15" s="350" t="s">
        <v>261</v>
      </c>
      <c r="C15" s="351" t="s">
        <v>251</v>
      </c>
      <c r="D15" s="352">
        <v>19</v>
      </c>
      <c r="E15" s="353">
        <v>0</v>
      </c>
      <c r="F15" s="354">
        <v>7.1605434634836724</v>
      </c>
      <c r="G15" s="355"/>
      <c r="H15" s="352">
        <v>19</v>
      </c>
      <c r="I15" s="353">
        <v>0</v>
      </c>
      <c r="J15" s="354">
        <v>6.6014747598192427</v>
      </c>
      <c r="K15" s="351">
        <v>0</v>
      </c>
      <c r="L15" s="356" t="s">
        <v>252</v>
      </c>
    </row>
    <row r="16" spans="2:12" s="357" customFormat="1" ht="21" customHeight="1" x14ac:dyDescent="0.2">
      <c r="B16" s="358"/>
      <c r="C16" s="351" t="s">
        <v>253</v>
      </c>
      <c r="D16" s="352">
        <v>270</v>
      </c>
      <c r="E16" s="353" t="s">
        <v>262</v>
      </c>
      <c r="F16" s="354">
        <v>6.2444143850693861</v>
      </c>
      <c r="G16" s="355"/>
      <c r="H16" s="352">
        <v>258</v>
      </c>
      <c r="I16" s="353">
        <v>0</v>
      </c>
      <c r="J16" s="354">
        <v>6.1679776767627761</v>
      </c>
      <c r="K16" s="351">
        <v>0</v>
      </c>
      <c r="L16" s="359"/>
    </row>
    <row r="17" spans="2:12" s="357" customFormat="1" ht="21" customHeight="1" x14ac:dyDescent="0.2">
      <c r="B17" s="358"/>
      <c r="C17" s="351" t="s">
        <v>254</v>
      </c>
      <c r="D17" s="352">
        <v>48</v>
      </c>
      <c r="E17" s="353" t="s">
        <v>263</v>
      </c>
      <c r="F17" s="354">
        <v>6.454886501416822</v>
      </c>
      <c r="G17" s="355"/>
      <c r="H17" s="352">
        <v>47</v>
      </c>
      <c r="I17" s="353">
        <v>0</v>
      </c>
      <c r="J17" s="354">
        <v>7.1929669866927144</v>
      </c>
      <c r="K17" s="351">
        <v>0</v>
      </c>
      <c r="L17" s="359"/>
    </row>
    <row r="18" spans="2:12" s="357" customFormat="1" ht="21" customHeight="1" x14ac:dyDescent="0.2">
      <c r="B18" s="358"/>
      <c r="C18" s="351" t="s">
        <v>255</v>
      </c>
      <c r="D18" s="352">
        <v>42</v>
      </c>
      <c r="E18" s="353">
        <v>1</v>
      </c>
      <c r="F18" s="354">
        <v>9.2382416535247653</v>
      </c>
      <c r="G18" s="355"/>
      <c r="H18" s="352">
        <v>38</v>
      </c>
      <c r="I18" s="353">
        <v>2</v>
      </c>
      <c r="J18" s="354">
        <v>11.151689939805106</v>
      </c>
      <c r="K18" s="351">
        <v>0</v>
      </c>
      <c r="L18" s="359"/>
    </row>
    <row r="19" spans="2:12" s="357" customFormat="1" ht="21" customHeight="1" x14ac:dyDescent="0.2">
      <c r="B19" s="358"/>
      <c r="C19" s="351" t="s">
        <v>256</v>
      </c>
      <c r="D19" s="352">
        <v>48</v>
      </c>
      <c r="E19" s="353" t="s">
        <v>264</v>
      </c>
      <c r="F19" s="354">
        <v>20.932624266924893</v>
      </c>
      <c r="G19" s="355"/>
      <c r="H19" s="352">
        <v>46</v>
      </c>
      <c r="I19" s="353">
        <v>8</v>
      </c>
      <c r="J19" s="354">
        <v>16.052882166808654</v>
      </c>
      <c r="K19" s="351">
        <v>3</v>
      </c>
      <c r="L19" s="359"/>
    </row>
    <row r="20" spans="2:12" s="357" customFormat="1" ht="21" customHeight="1" x14ac:dyDescent="0.2">
      <c r="B20" s="358"/>
      <c r="C20" s="373" t="s">
        <v>257</v>
      </c>
      <c r="D20" s="361">
        <f>SUM(D15:D19)</f>
        <v>427</v>
      </c>
      <c r="E20" s="361" t="s">
        <v>265</v>
      </c>
      <c r="F20" s="374">
        <v>8.5991738532491251</v>
      </c>
      <c r="G20" s="363"/>
      <c r="H20" s="361">
        <f>SUM(H15:H19)</f>
        <v>408</v>
      </c>
      <c r="I20" s="361">
        <f>SUM(I15:I19)</f>
        <v>10</v>
      </c>
      <c r="J20" s="374">
        <v>8.122671097760815</v>
      </c>
      <c r="K20" s="347">
        <f>SUM(K15:K19)</f>
        <v>3</v>
      </c>
      <c r="L20" s="359"/>
    </row>
    <row r="21" spans="2:12" s="372" customFormat="1" ht="14.25" customHeight="1" thickBot="1" x14ac:dyDescent="0.25">
      <c r="B21" s="365"/>
      <c r="C21" s="375"/>
      <c r="D21" s="367" t="s">
        <v>266</v>
      </c>
      <c r="E21" s="368"/>
      <c r="F21" s="369"/>
      <c r="G21" s="376"/>
      <c r="H21" s="367"/>
      <c r="I21" s="368"/>
      <c r="J21" s="369"/>
      <c r="K21" s="370"/>
      <c r="L21" s="371"/>
    </row>
    <row r="22" spans="2:12" s="357" customFormat="1" ht="27.75" customHeight="1" x14ac:dyDescent="0.2">
      <c r="B22" s="341" t="s">
        <v>199</v>
      </c>
      <c r="C22" s="342" t="s">
        <v>241</v>
      </c>
      <c r="D22" s="342" t="str">
        <f>D13</f>
        <v>Q-II-Jul to Sep-22</v>
      </c>
      <c r="E22" s="342"/>
      <c r="F22" s="342"/>
      <c r="G22" s="343"/>
      <c r="H22" s="342" t="str">
        <f>H13</f>
        <v>Q-II-Jul to Sep-21</v>
      </c>
      <c r="I22" s="342"/>
      <c r="J22" s="342"/>
      <c r="K22" s="342" t="s">
        <v>267</v>
      </c>
      <c r="L22" s="344" t="s">
        <v>245</v>
      </c>
    </row>
    <row r="23" spans="2:12" ht="79.5" customHeight="1" x14ac:dyDescent="0.2">
      <c r="B23" s="345"/>
      <c r="C23" s="346"/>
      <c r="D23" s="347" t="s">
        <v>246</v>
      </c>
      <c r="E23" s="347" t="s">
        <v>268</v>
      </c>
      <c r="F23" s="347" t="s">
        <v>248</v>
      </c>
      <c r="G23" s="348"/>
      <c r="H23" s="347" t="s">
        <v>246</v>
      </c>
      <c r="I23" s="347" t="s">
        <v>268</v>
      </c>
      <c r="J23" s="347" t="s">
        <v>248</v>
      </c>
      <c r="K23" s="346"/>
      <c r="L23" s="349"/>
    </row>
    <row r="24" spans="2:12" s="357" customFormat="1" ht="21" customHeight="1" x14ac:dyDescent="0.2">
      <c r="B24" s="345" t="s">
        <v>269</v>
      </c>
      <c r="C24" s="351" t="s">
        <v>251</v>
      </c>
      <c r="D24" s="352">
        <v>58</v>
      </c>
      <c r="E24" s="353">
        <v>1</v>
      </c>
      <c r="F24" s="354">
        <v>2.3540792113829343</v>
      </c>
      <c r="G24" s="355"/>
      <c r="H24" s="352">
        <v>55</v>
      </c>
      <c r="I24" s="353">
        <v>0</v>
      </c>
      <c r="J24" s="354">
        <v>2.6068108521648163</v>
      </c>
      <c r="K24" s="351">
        <v>1</v>
      </c>
      <c r="L24" s="356" t="s">
        <v>252</v>
      </c>
    </row>
    <row r="25" spans="2:12" s="357" customFormat="1" ht="21" customHeight="1" x14ac:dyDescent="0.2">
      <c r="B25" s="345"/>
      <c r="C25" s="351" t="s">
        <v>253</v>
      </c>
      <c r="D25" s="352">
        <v>3</v>
      </c>
      <c r="E25" s="353">
        <v>0</v>
      </c>
      <c r="F25" s="354">
        <v>-1.0849445867087304</v>
      </c>
      <c r="G25" s="355"/>
      <c r="H25" s="352">
        <v>3</v>
      </c>
      <c r="I25" s="353">
        <v>0</v>
      </c>
      <c r="J25" s="354">
        <v>-1.034567960455502</v>
      </c>
      <c r="K25" s="351">
        <v>0</v>
      </c>
      <c r="L25" s="359"/>
    </row>
    <row r="26" spans="2:12" s="357" customFormat="1" ht="21" customHeight="1" x14ac:dyDescent="0.2">
      <c r="B26" s="345"/>
      <c r="C26" s="351" t="s">
        <v>254</v>
      </c>
      <c r="D26" s="352">
        <v>6</v>
      </c>
      <c r="E26" s="353">
        <v>0</v>
      </c>
      <c r="F26" s="354">
        <v>1.9566925972148208</v>
      </c>
      <c r="G26" s="355"/>
      <c r="H26" s="352">
        <v>5</v>
      </c>
      <c r="I26" s="353">
        <v>0</v>
      </c>
      <c r="J26" s="354">
        <v>3.7690318728301619</v>
      </c>
      <c r="K26" s="351">
        <v>0</v>
      </c>
      <c r="L26" s="359"/>
    </row>
    <row r="27" spans="2:12" s="357" customFormat="1" ht="21" customHeight="1" x14ac:dyDescent="0.2">
      <c r="B27" s="345"/>
      <c r="C27" s="351" t="s">
        <v>255</v>
      </c>
      <c r="D27" s="352">
        <v>13</v>
      </c>
      <c r="E27" s="353" t="s">
        <v>263</v>
      </c>
      <c r="F27" s="354">
        <v>1.2136543582423323</v>
      </c>
      <c r="G27" s="355"/>
      <c r="H27" s="352">
        <v>12</v>
      </c>
      <c r="I27" s="353">
        <v>0</v>
      </c>
      <c r="J27" s="354">
        <v>2.7881893138842613</v>
      </c>
      <c r="K27" s="351">
        <v>0</v>
      </c>
      <c r="L27" s="359"/>
    </row>
    <row r="28" spans="2:12" s="357" customFormat="1" ht="21" customHeight="1" x14ac:dyDescent="0.2">
      <c r="B28" s="345"/>
      <c r="C28" s="351" t="s">
        <v>256</v>
      </c>
      <c r="D28" s="353">
        <v>43</v>
      </c>
      <c r="E28" s="353">
        <v>0</v>
      </c>
      <c r="F28" s="354">
        <v>2.5862076243102243</v>
      </c>
      <c r="G28" s="363"/>
      <c r="H28" s="353">
        <v>40</v>
      </c>
      <c r="I28" s="353">
        <v>0</v>
      </c>
      <c r="J28" s="354">
        <v>0.16577019752768127</v>
      </c>
      <c r="K28" s="351">
        <v>0</v>
      </c>
      <c r="L28" s="359"/>
    </row>
    <row r="29" spans="2:12" s="357" customFormat="1" ht="21" customHeight="1" x14ac:dyDescent="0.2">
      <c r="B29" s="345"/>
      <c r="C29" s="373" t="s">
        <v>257</v>
      </c>
      <c r="D29" s="361">
        <f>SUM(D24:D28)</f>
        <v>123</v>
      </c>
      <c r="E29" s="361" t="s">
        <v>270</v>
      </c>
      <c r="F29" s="374">
        <v>2.3025879169154337</v>
      </c>
      <c r="G29" s="377"/>
      <c r="H29" s="361">
        <f>SUM(H24:H28)</f>
        <v>115</v>
      </c>
      <c r="I29" s="378">
        <f>SUM(I24:I28)</f>
        <v>0</v>
      </c>
      <c r="J29" s="374">
        <v>1.8760630751814986</v>
      </c>
      <c r="K29" s="347">
        <f>SUM(K24:K28)</f>
        <v>1</v>
      </c>
      <c r="L29" s="359"/>
    </row>
    <row r="30" spans="2:12" s="372" customFormat="1" ht="16.5" customHeight="1" thickBot="1" x14ac:dyDescent="0.25">
      <c r="B30" s="379"/>
      <c r="C30" s="380"/>
      <c r="D30" s="367" t="s">
        <v>266</v>
      </c>
      <c r="E30" s="368"/>
      <c r="F30" s="369"/>
      <c r="G30" s="376"/>
      <c r="H30" s="367"/>
      <c r="I30" s="368"/>
      <c r="J30" s="369"/>
      <c r="K30" s="370"/>
      <c r="L30" s="371"/>
    </row>
    <row r="31" spans="2:12" ht="62.25" customHeight="1" x14ac:dyDescent="0.2">
      <c r="B31" s="381"/>
      <c r="C31" s="382"/>
      <c r="D31" s="382"/>
      <c r="E31" s="382"/>
      <c r="F31" s="382"/>
      <c r="G31" s="382"/>
      <c r="H31" s="382"/>
      <c r="I31" s="382"/>
      <c r="J31" s="382"/>
      <c r="K31" s="382"/>
      <c r="L31" s="382"/>
    </row>
    <row r="32" spans="2:12" ht="86.25" customHeight="1" x14ac:dyDescent="0.2"/>
  </sheetData>
  <mergeCells count="32">
    <mergeCell ref="B24:B30"/>
    <mergeCell ref="L24:L30"/>
    <mergeCell ref="D30:F30"/>
    <mergeCell ref="H30:J30"/>
    <mergeCell ref="B15:B21"/>
    <mergeCell ref="L15:L21"/>
    <mergeCell ref="D21:F21"/>
    <mergeCell ref="H21:J21"/>
    <mergeCell ref="B22:B23"/>
    <mergeCell ref="C22:C23"/>
    <mergeCell ref="D22:F22"/>
    <mergeCell ref="H22:J22"/>
    <mergeCell ref="K22:K23"/>
    <mergeCell ref="L22:L23"/>
    <mergeCell ref="B6:B12"/>
    <mergeCell ref="L6:L12"/>
    <mergeCell ref="D12:F12"/>
    <mergeCell ref="H12:J12"/>
    <mergeCell ref="B13:B14"/>
    <mergeCell ref="C13:C14"/>
    <mergeCell ref="D13:F13"/>
    <mergeCell ref="H13:J13"/>
    <mergeCell ref="K13:K14"/>
    <mergeCell ref="L13:L14"/>
    <mergeCell ref="B1:L1"/>
    <mergeCell ref="B3:L3"/>
    <mergeCell ref="B4:B5"/>
    <mergeCell ref="C4:C5"/>
    <mergeCell ref="D4:F4"/>
    <mergeCell ref="H4:J4"/>
    <mergeCell ref="K4:K5"/>
    <mergeCell ref="L4:L5"/>
  </mergeCells>
  <printOptions horizontalCentered="1" verticalCentered="1"/>
  <pageMargins left="0.35" right="0.36" top="0" bottom="0" header="0" footer="0"/>
  <pageSetup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SHEET-1</vt:lpstr>
      <vt:lpstr>SHEET-2</vt:lpstr>
      <vt:lpstr>SHEET-3</vt:lpstr>
      <vt:lpstr>SHEET-4</vt:lpstr>
      <vt:lpstr>SHEET-5</vt:lpstr>
      <vt:lpstr>SHEET-6</vt:lpstr>
      <vt:lpstr>SHEET-7</vt:lpstr>
      <vt:lpstr>Meter tesing &amp; defectiveQ2</vt:lpstr>
      <vt:lpstr>2022-23-Q2</vt:lpstr>
      <vt:lpstr>Sheet1</vt:lpstr>
      <vt:lpstr>'2022-23-Q2'!Print_Area</vt:lpstr>
      <vt:lpstr>'Meter tesing &amp; defectiveQ2'!Print_Area</vt:lpstr>
      <vt:lpstr>'SHEET-1'!Print_Area</vt:lpstr>
      <vt:lpstr>'SHEET-3'!Print_Area</vt:lpstr>
      <vt:lpstr>'SHEET-4'!Print_Area</vt:lpstr>
      <vt:lpstr>'SHEET-5'!Print_Area</vt:lpstr>
      <vt:lpstr>'SHEET-6'!Print_Area</vt:lpstr>
      <vt:lpstr>'SHEET-7'!Print_Area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Mr.Dileep N. Yadav</cp:lastModifiedBy>
  <cp:lastPrinted>2020-12-17T11:02:37Z</cp:lastPrinted>
  <dcterms:created xsi:type="dcterms:W3CDTF">1996-10-14T23:33:28Z</dcterms:created>
  <dcterms:modified xsi:type="dcterms:W3CDTF">2022-12-19T10:28:11Z</dcterms:modified>
</cp:coreProperties>
</file>