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drawings/drawing2.xml" ContentType="application/vnd.openxmlformats-officedocument.drawing+xml"/>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drawings/drawing3.xml" ContentType="application/vnd.openxmlformats-officedocument.drawing+xml"/>
  <Override PartName="/xl/embeddings/oleObject10.bin" ContentType="application/vnd.openxmlformats-officedocument.oleObject"/>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11"/>
  <workbookPr codeName="ThisWorkbook" defaultThemeVersion="124226"/>
  <mc:AlternateContent xmlns:mc="http://schemas.openxmlformats.org/markup-compatibility/2006">
    <mc:Choice Requires="x15">
      <x15ac:absPath xmlns:x15ac="http://schemas.microsoft.com/office/spreadsheetml/2010/11/ac" url="/Users/patomembert/Downloads/"/>
    </mc:Choice>
  </mc:AlternateContent>
  <xr:revisionPtr revIDLastSave="0" documentId="13_ncr:1_{95CBABBC-6BAD-0E44-B193-2E92715E2077}" xr6:coauthVersionLast="47" xr6:coauthVersionMax="47" xr10:uidLastSave="{00000000-0000-0000-0000-000000000000}"/>
  <bookViews>
    <workbookView xWindow="120" yWindow="500" windowWidth="33480" windowHeight="16380" tabRatio="915" activeTab="9" xr2:uid="{00000000-000D-0000-FFFF-FFFF00000000}"/>
  </bookViews>
  <sheets>
    <sheet name="Glance" sheetId="40" r:id="rId1"/>
    <sheet name="REVENUE DATA " sheetId="42" r:id="rId2"/>
    <sheet name="Financial Data " sheetId="41" r:id="rId3"/>
    <sheet name="2.revenue Backup)" sheetId="44" state="hidden" r:id="rId4"/>
    <sheet name="Income &amp; OFR Back up" sheetId="45" state="hidden" r:id="rId5"/>
    <sheet name="SOP-14 H1" sheetId="46" state="hidden" r:id="rId6"/>
    <sheet name="LT" sheetId="47" state="hidden" r:id="rId7"/>
    <sheet name="HT" sheetId="48" state="hidden" r:id="rId8"/>
    <sheet name="Sheet1" sheetId="49" state="hidden" r:id="rId9"/>
    <sheet name="Sheet2" sheetId="50" r:id="rId10"/>
  </sheets>
  <externalReferences>
    <externalReference r:id="rId11"/>
    <externalReference r:id="rId12"/>
    <externalReference r:id="rId13"/>
    <externalReference r:id="rId14"/>
    <externalReference r:id="rId15"/>
    <externalReference r:id="rId16"/>
    <externalReference r:id="rId17"/>
  </externalReferences>
  <definedNames>
    <definedName name="___INDEX_SHEET___ASAP_Utilities" localSheetId="2">#REF!</definedName>
    <definedName name="___INDEX_SHEET___ASAP_Utilities" localSheetId="0">#REF!</definedName>
    <definedName name="___INDEX_SHEET___ASAP_Utilities">#REF!</definedName>
    <definedName name="__123Graph_A" hidden="1">'[1]mpmla wise pp0001'!$A$166:$A$172</definedName>
    <definedName name="__123Graph_B" hidden="1">'[1]mpmla wise pp0001'!#REF!</definedName>
    <definedName name="__123Graph_C" hidden="1">'[1]mpmla wise pp0001'!$B$166:$B$172</definedName>
    <definedName name="__123Graph_D" hidden="1">'[1]mpmla wise pp0001'!#REF!</definedName>
    <definedName name="__123Graph_E" hidden="1">'[1]mpmla wise pp0001'!$C$166:$C$172</definedName>
    <definedName name="__123Graph_F" hidden="1">'[1]mpmla wise pp0001'!#REF!</definedName>
    <definedName name="__123Graph_X" hidden="1">'[1]mpmla wise pp0001'!#REF!</definedName>
    <definedName name="_AA1" localSheetId="2">#REF!</definedName>
    <definedName name="_AA1" localSheetId="0">#REF!</definedName>
    <definedName name="_AA1">#REF!</definedName>
    <definedName name="_Fill" localSheetId="2" hidden="1">#REF!</definedName>
    <definedName name="_Fill" localSheetId="0" hidden="1">#REF!</definedName>
    <definedName name="_Fill" hidden="1">#REF!</definedName>
    <definedName name="_xlnm._FilterDatabase" localSheetId="2" hidden="1">'Financial Data '!$G$27:$J$30</definedName>
    <definedName name="_Key1" hidden="1">[1]zpF0001!$E$39:$E$78</definedName>
    <definedName name="_Key2" hidden="1">[1]zpF0001!$O$149:$O$158</definedName>
    <definedName name="_Order1" hidden="1">255</definedName>
    <definedName name="_Order2" hidden="1">255</definedName>
    <definedName name="_Sort" hidden="1">[1]zpF0001!$A$39:$CB$78</definedName>
    <definedName name="\a">#REF!</definedName>
    <definedName name="\b">#REF!</definedName>
    <definedName name="a">'[2]shp_T&amp;D_drive'!$A$1:$AE$31</definedName>
    <definedName name="AA" localSheetId="2">#REF!</definedName>
    <definedName name="AA" localSheetId="0">#REF!</definedName>
    <definedName name="AA" localSheetId="1">#REF!</definedName>
    <definedName name="AA">#REF!</definedName>
    <definedName name="aaa" localSheetId="2">#REF!</definedName>
    <definedName name="aaa" localSheetId="0">#REF!</definedName>
    <definedName name="aaa">#REF!</definedName>
    <definedName name="agmeter">#REF!</definedName>
    <definedName name="AGRI" localSheetId="3">#REF!</definedName>
    <definedName name="AGRI" localSheetId="2">#REF!</definedName>
    <definedName name="AGRI" localSheetId="0">#REF!</definedName>
    <definedName name="AGRI">#REF!</definedName>
    <definedName name="as">'[2]shp_T&amp;D_drive'!$A$1:$AE$31</definedName>
    <definedName name="Banks">#REF!</definedName>
    <definedName name="Banks_3">"$#REF!.$E$22:$E$35"</definedName>
    <definedName name="Banks_4" localSheetId="2">#REF!</definedName>
    <definedName name="Banks_4" localSheetId="0">#REF!</definedName>
    <definedName name="Banks_4">#REF!</definedName>
    <definedName name="BB" localSheetId="3" hidden="1">{"'Sheet1'!$A$4386:$N$4591"}</definedName>
    <definedName name="BB" localSheetId="4" hidden="1">{"'Sheet1'!$A$4386:$N$4591"}</definedName>
    <definedName name="BB" hidden="1">{"'Sheet1'!$A$4386:$N$4591"}</definedName>
    <definedName name="Blood_Group" localSheetId="2">#REF!</definedName>
    <definedName name="Blood_Group" localSheetId="0">#REF!</definedName>
    <definedName name="Blood_Group">#REF!</definedName>
    <definedName name="Blood_Group_3">"$#REF!.$C$2:$C$9"</definedName>
    <definedName name="Blood_Group_4" localSheetId="2">#REF!</definedName>
    <definedName name="Blood_Group_4" localSheetId="0">#REF!</definedName>
    <definedName name="Blood_Group_4">#REF!</definedName>
    <definedName name="Branch" localSheetId="2">#REF!</definedName>
    <definedName name="Branch" localSheetId="0">#REF!</definedName>
    <definedName name="Branch">#REF!</definedName>
    <definedName name="Branch_3">"$#REF!.$E$27:$E$27"</definedName>
    <definedName name="Branch_4" localSheetId="2">#REF!</definedName>
    <definedName name="Branch_4" localSheetId="0">#REF!</definedName>
    <definedName name="Branch_4">#REF!</definedName>
    <definedName name="Caste" localSheetId="2">#REF!</definedName>
    <definedName name="Caste" localSheetId="0">#REF!</definedName>
    <definedName name="Caste">#REF!</definedName>
    <definedName name="Caste_3">"$#REF!.$A$8:$A$12"</definedName>
    <definedName name="Caste_4" localSheetId="2">#REF!</definedName>
    <definedName name="Caste_4" localSheetId="0">#REF!</definedName>
    <definedName name="Caste_4">#REF!</definedName>
    <definedName name="CLASS" localSheetId="2">#REF!</definedName>
    <definedName name="CLASS" localSheetId="0">#REF!</definedName>
    <definedName name="CLASS">#REF!</definedName>
    <definedName name="CLASS_3">"$#REF!.$B$32:$B$35"</definedName>
    <definedName name="CLASS_4" localSheetId="2">#REF!</definedName>
    <definedName name="CLASS_4" localSheetId="0">#REF!</definedName>
    <definedName name="CLASS_4">#REF!</definedName>
    <definedName name="comp" localSheetId="2">#REF!</definedName>
    <definedName name="comp" localSheetId="0">#REF!</definedName>
    <definedName name="comp">#REF!</definedName>
    <definedName name="data" localSheetId="2">#REF!</definedName>
    <definedName name="data" localSheetId="0">#REF!</definedName>
    <definedName name="data">#REF!</definedName>
    <definedName name="_xlnm.Database" localSheetId="3">#REF!</definedName>
    <definedName name="_xlnm.Database">#REF!</definedName>
    <definedName name="Database1">#REF!</definedName>
    <definedName name="dep_pm">#REF!</definedName>
    <definedName name="Departments">#REF!</definedName>
    <definedName name="Departments_3">"$#REF!.$A$37:$A$44"</definedName>
    <definedName name="Departments_4" localSheetId="2">#REF!</definedName>
    <definedName name="Departments_4" localSheetId="0">#REF!</definedName>
    <definedName name="Departments_4">#REF!</definedName>
    <definedName name="depcom_pa" localSheetId="2">#REF!</definedName>
    <definedName name="depcom_pa" localSheetId="0">#REF!</definedName>
    <definedName name="depcom_pa">#REF!</definedName>
    <definedName name="depsch_pa" localSheetId="2">#REF!</definedName>
    <definedName name="depsch_pa" localSheetId="0">#REF!</definedName>
    <definedName name="depsch_pa">#REF!</definedName>
    <definedName name="depveh_pa">#REF!</definedName>
    <definedName name="Designation">#REF!</definedName>
    <definedName name="Designation_3">"$#REF!.$F$2:$F$396"</definedName>
    <definedName name="Designation_4" localSheetId="2">#REF!</definedName>
    <definedName name="Designation_4" localSheetId="0">#REF!</definedName>
    <definedName name="Designation_4">#REF!</definedName>
    <definedName name="Disability" localSheetId="2">#REF!</definedName>
    <definedName name="Disability" localSheetId="0">#REF!</definedName>
    <definedName name="Disability">#REF!</definedName>
    <definedName name="Disability_3">"$#REF!.$B$8:$B$17"</definedName>
    <definedName name="Disability_4" localSheetId="2">#REF!</definedName>
    <definedName name="Disability_4" localSheetId="0">#REF!</definedName>
    <definedName name="Disability_4">#REF!</definedName>
    <definedName name="Disability_perc" localSheetId="2">#REF!</definedName>
    <definedName name="Disability_perc" localSheetId="0">#REF!</definedName>
    <definedName name="Disability_perc">#REF!</definedName>
    <definedName name="Disability_perc_3">"$#REF!.$B$20:$B$28"</definedName>
    <definedName name="Disability_perc_4" localSheetId="2">#REF!</definedName>
    <definedName name="Disability_perc_4" localSheetId="0">#REF!</definedName>
    <definedName name="Disability_perc_4">#REF!</definedName>
    <definedName name="Division" localSheetId="2">#REF!</definedName>
    <definedName name="Division" localSheetId="0">#REF!</definedName>
    <definedName name="Division">#REF!</definedName>
    <definedName name="Division_3">"$#REF!.$G$2:$G$8"</definedName>
    <definedName name="Division_4" localSheetId="2">#REF!</definedName>
    <definedName name="Division_4" localSheetId="0">#REF!</definedName>
    <definedName name="Division_4">#REF!</definedName>
    <definedName name="ed" localSheetId="2">#REF!</definedName>
    <definedName name="ed" localSheetId="0">#REF!</definedName>
    <definedName name="ed">#REF!</definedName>
    <definedName name="Emp_Type" localSheetId="2">#REF!</definedName>
    <definedName name="Emp_Type" localSheetId="0">#REF!</definedName>
    <definedName name="Emp_Type">#REF!</definedName>
    <definedName name="Emp_Type_3">"$#REF!.$B$38:$B$41"</definedName>
    <definedName name="Emp_Type_4" localSheetId="2">#REF!</definedName>
    <definedName name="Emp_Type_4" localSheetId="0">#REF!</definedName>
    <definedName name="Emp_Type_4">#REF!</definedName>
    <definedName name="Excel_BuiltIn__FilterDatabase_15" localSheetId="2">#REF!</definedName>
    <definedName name="Excel_BuiltIn__FilterDatabase_15" localSheetId="0">#REF!</definedName>
    <definedName name="Excel_BuiltIn__FilterDatabase_15">#REF!</definedName>
    <definedName name="Excel_BuiltIn__FilterDatabase_15_4" localSheetId="2">#REF!</definedName>
    <definedName name="Excel_BuiltIn__FilterDatabase_15_4" localSheetId="0">#REF!</definedName>
    <definedName name="Excel_BuiltIn__FilterDatabase_15_4">#REF!</definedName>
    <definedName name="Excel_BuiltIn_Print_Area_9">#REF!</definedName>
    <definedName name="Excel_BuiltIn_Print_Titles_7">#REF!</definedName>
    <definedName name="Excel_BuiltIn_Print_Titles_9_1">#REF!</definedName>
    <definedName name="FF_945_956">#REF!</definedName>
    <definedName name="FF_967">#REF!</definedName>
    <definedName name="gr_agri">#REF!</definedName>
    <definedName name="gr_agri1">#REF!</definedName>
    <definedName name="gr_dom">#REF!</definedName>
    <definedName name="gr_iaf">#REF!</definedName>
    <definedName name="gr_lip">#REF!</definedName>
    <definedName name="gr_mlht">#REF!</definedName>
    <definedName name="gr_ndlt1">#REF!</definedName>
    <definedName name="gr_ndlt2">#REF!</definedName>
    <definedName name="gr_pl">#REF!</definedName>
    <definedName name="gr_pw">#REF!</definedName>
    <definedName name="gr_rail">#REF!</definedName>
    <definedName name="gr_sip">#REF!</definedName>
    <definedName name="Grade">#REF!</definedName>
    <definedName name="Grade_3">"$#REF!.$E$2:$E$18"</definedName>
    <definedName name="Grade_4" localSheetId="2">#REF!</definedName>
    <definedName name="Grade_4" localSheetId="0">#REF!</definedName>
    <definedName name="Grade_4">#REF!</definedName>
    <definedName name="hr" localSheetId="2">#REF!</definedName>
    <definedName name="hr" localSheetId="0">#REF!</definedName>
    <definedName name="hr">#REF!</definedName>
    <definedName name="HTML_CodePage" hidden="1">1252</definedName>
    <definedName name="HTML_Control" localSheetId="2" hidden="1">{"'Sheet1'!$A$4386:$N$4591"}</definedName>
    <definedName name="HTML_Control" localSheetId="0" hidden="1">{"'Sheet1'!$A$4386:$N$4591"}</definedName>
    <definedName name="HTML_Control" localSheetId="1" hidden="1">{"'Sheet1'!$A$4386:$N$4591"}</definedName>
    <definedName name="HTML_Control" hidden="1">{"'Sheet1'!$A$4386:$N$4591"}</definedName>
    <definedName name="HTML_Description" hidden="1">""</definedName>
    <definedName name="HTML_Email" hidden="1">""</definedName>
    <definedName name="HTML_Header" hidden="1">"Sheet1"</definedName>
    <definedName name="HTML_LastUpdate" hidden="1">"7/1/03"</definedName>
    <definedName name="HTML_LineAfter" hidden="1">FALSE</definedName>
    <definedName name="HTML_LineBefore" hidden="1">FALSE</definedName>
    <definedName name="HTML_Name" hidden="1">"m.p.raval"</definedName>
    <definedName name="HTML_OBDlg2" hidden="1">TRUE</definedName>
    <definedName name="HTML_OBDlg4" hidden="1">TRUE</definedName>
    <definedName name="HTML_OS" hidden="1">0</definedName>
    <definedName name="HTML_PathFile" hidden="1">"A:\MyHTML.htm"</definedName>
    <definedName name="HTML_Title" hidden="1">"SGSDaily Progress Report Piyaj toDharoi Pipeline"</definedName>
    <definedName name="Locations" localSheetId="2">#REF!</definedName>
    <definedName name="Locations" localSheetId="0">#REF!</definedName>
    <definedName name="Locations">#REF!</definedName>
    <definedName name="Locations_3">"$#REF!.$G$10:$G$42"</definedName>
    <definedName name="Locations_4" localSheetId="2">#REF!</definedName>
    <definedName name="Locations_4" localSheetId="0">#REF!</definedName>
    <definedName name="Locations_4">#REF!</definedName>
    <definedName name="Mother_Tongue" localSheetId="2">#REF!</definedName>
    <definedName name="Mother_Tongue" localSheetId="0">#REF!</definedName>
    <definedName name="Mother_Tongue">#REF!</definedName>
    <definedName name="Mother_Tongue_3">"$#REF!.$A$16:$A$35"</definedName>
    <definedName name="Mother_Tongue_4" localSheetId="2">#REF!</definedName>
    <definedName name="Mother_Tongue_4" localSheetId="0">#REF!</definedName>
    <definedName name="Mother_Tongue_4">#REF!</definedName>
    <definedName name="PA" localSheetId="2">#REF!</definedName>
    <definedName name="PA" localSheetId="0">#REF!</definedName>
    <definedName name="PA">#REF!</definedName>
    <definedName name="PA_DET" localSheetId="2">#REF!</definedName>
    <definedName name="PA_DET" localSheetId="0">#REF!</definedName>
    <definedName name="PA_DET">#REF!</definedName>
    <definedName name="PA_SCH3">#REF!</definedName>
    <definedName name="PA_SCH4_5">#REF!</definedName>
    <definedName name="_xlnm.Print_Area" localSheetId="3">'2.revenue Backup)'!$L$1:$V$55</definedName>
    <definedName name="_xlnm.Print_Area" localSheetId="2">'Financial Data '!$A$1:$J$32</definedName>
    <definedName name="_xlnm.Print_Area" localSheetId="0">Glance!$A$1:$J$86</definedName>
    <definedName name="_xlnm.Print_Area" localSheetId="4">'Income &amp; OFR Back up'!$A$1:$L$27</definedName>
    <definedName name="_xlnm.Print_Area" localSheetId="1">'REVENUE DATA '!$A$1:$J$119</definedName>
    <definedName name="_xlnm.Print_Area" localSheetId="5">'SOP-14 H1'!$A$1:$P$28</definedName>
    <definedName name="q">'[3]shp_T&amp;D_drive'!$A$1:$AE$31</definedName>
    <definedName name="qwasds" localSheetId="2">#REF!</definedName>
    <definedName name="qwasds" localSheetId="0">#REF!</definedName>
    <definedName name="qwasds" localSheetId="1">#REF!</definedName>
    <definedName name="qwasds">#REF!</definedName>
    <definedName name="qwasdx" localSheetId="2">#REF!</definedName>
    <definedName name="qwasdx" localSheetId="0">#REF!</definedName>
    <definedName name="qwasdx">#REF!</definedName>
    <definedName name="qwasewd" localSheetId="2">#REF!</definedName>
    <definedName name="qwasewd" localSheetId="0">#REF!</definedName>
    <definedName name="qwasewd">#REF!</definedName>
    <definedName name="qwedf">#REF!</definedName>
    <definedName name="qwedsxa">#REF!</definedName>
    <definedName name="qwesdf">#REF!</definedName>
    <definedName name="qwsd">#REF!</definedName>
    <definedName name="qwsdscf">#REF!</definedName>
    <definedName name="qwsedf">#REF!</definedName>
    <definedName name="qwseds">#REF!</definedName>
    <definedName name="S_14">#REF!</definedName>
    <definedName name="sad">#REF!</definedName>
    <definedName name="sadf">#REF!</definedName>
    <definedName name="SAS">#REF!</definedName>
    <definedName name="sasLLDLKS">#REF!</definedName>
    <definedName name="Security_Costs_Rate">[4]Assumptions!#REF!</definedName>
    <definedName name="Security_Rate">[4]Assumptions!#REF!</definedName>
    <definedName name="ss" localSheetId="2">#REF!</definedName>
    <definedName name="ss" localSheetId="0">#REF!</definedName>
    <definedName name="ss" localSheetId="1">#REF!</definedName>
    <definedName name="ss">#REF!</definedName>
    <definedName name="SSS" localSheetId="3" hidden="1">{"'Sheet1'!$A$4386:$N$4591"}</definedName>
    <definedName name="SSS" localSheetId="4" hidden="1">{"'Sheet1'!$A$4386:$N$4591"}</definedName>
    <definedName name="SSS" hidden="1">{"'Sheet1'!$A$4386:$N$4591"}</definedName>
    <definedName name="State" localSheetId="2">#REF!</definedName>
    <definedName name="State" localSheetId="0">#REF!</definedName>
    <definedName name="State">#REF!</definedName>
    <definedName name="State_3">"$#REF!.$D$2:$D$38"</definedName>
    <definedName name="State_4" localSheetId="2">#REF!</definedName>
    <definedName name="State_4" localSheetId="0">#REF!</definedName>
    <definedName name="State_4">#REF!</definedName>
    <definedName name="swdfc" localSheetId="2">#REF!</definedName>
    <definedName name="swdfc" localSheetId="0">#REF!</definedName>
    <definedName name="swdfc">#REF!</definedName>
    <definedName name="t">'[2]shp_T&amp;D_drive'!$A$1:$AE$31</definedName>
    <definedName name="tf_agri" localSheetId="2">#REF!</definedName>
    <definedName name="tf_agri" localSheetId="0">#REF!</definedName>
    <definedName name="tf_agri">#REF!</definedName>
    <definedName name="tf_dom">#REF!</definedName>
    <definedName name="tf_iaf">#REF!</definedName>
    <definedName name="tf_lip">#REF!</definedName>
    <definedName name="tf_mlht">#REF!</definedName>
    <definedName name="tf_ndlt1">#REF!</definedName>
    <definedName name="tf_ndlt2">#REF!</definedName>
    <definedName name="tf_pl">#REF!</definedName>
    <definedName name="tf_pw">#REF!</definedName>
    <definedName name="tf_rail">#REF!</definedName>
    <definedName name="tf_sip">#REF!</definedName>
    <definedName name="Title">#REF!</definedName>
    <definedName name="Title_3">"$#REF!.$A$2:$A$6"</definedName>
    <definedName name="Title_4" localSheetId="2">#REF!</definedName>
    <definedName name="Title_4" localSheetId="0">#REF!</definedName>
    <definedName name="Title_4">#REF!</definedName>
    <definedName name="Union" localSheetId="2">#REF!</definedName>
    <definedName name="Union" localSheetId="0">#REF!</definedName>
    <definedName name="Union">#REF!</definedName>
    <definedName name="Union_3">"$#REF!.$C$12:$C$19"</definedName>
    <definedName name="Union_4" localSheetId="2">#REF!</definedName>
    <definedName name="Union_4" localSheetId="0">#REF!</definedName>
    <definedName name="Union_4">#REF!</definedName>
    <definedName name="we" localSheetId="2">#REF!</definedName>
    <definedName name="we" localSheetId="0">#REF!</definedName>
    <definedName name="we">#REF!</definedName>
    <definedName name="WEEDFC" localSheetId="2">#REF!</definedName>
    <definedName name="WEEDFC" localSheetId="0">#REF!</definedName>
    <definedName name="WEEDFC">#REF!</definedName>
    <definedName name="werf">#REF!</definedName>
    <definedName name="wess">#REF!</definedName>
    <definedName name="WQ">#REF!</definedName>
    <definedName name="WQEDF">#REF!</definedName>
    <definedName name="WQEE">#REF!</definedName>
    <definedName name="wsds">#REF!</definedName>
    <definedName name="wses">#REF!</definedName>
    <definedName name="X" hidden="1">'[5]mpmla wise pp0001'!$A$166:$A$172</definedName>
    <definedName name="XX" hidden="1">'[5]mpmla wise pp0001'!#REF!</definedName>
    <definedName name="XXXX" hidden="1">'[5]mpmla wise pp0001'!$B$166:$B$172</definedName>
    <definedName name="Yes_no">#REF!</definedName>
    <definedName name="Yes_no_3">"$#REF!.$B$2:$B$4"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1" i="50" l="1"/>
  <c r="D31" i="50"/>
  <c r="C31" i="50"/>
  <c r="G17" i="50"/>
  <c r="D17" i="50"/>
  <c r="C17" i="50"/>
  <c r="I80" i="40" l="1"/>
  <c r="G81" i="40"/>
  <c r="G79" i="40"/>
  <c r="G77" i="40"/>
  <c r="G71" i="40"/>
  <c r="G70" i="40"/>
  <c r="G69" i="40"/>
  <c r="G68" i="40"/>
  <c r="G67" i="40"/>
  <c r="G66" i="40"/>
  <c r="E14" i="41"/>
  <c r="G24" i="41"/>
  <c r="G73" i="40" s="1"/>
  <c r="G14" i="41"/>
  <c r="H9" i="41"/>
  <c r="H7" i="41"/>
  <c r="G8" i="41"/>
  <c r="G10" i="41" s="1"/>
  <c r="G43" i="42"/>
  <c r="E43" i="42"/>
  <c r="H8" i="41" l="1"/>
  <c r="H10" i="41" s="1"/>
  <c r="G30" i="42"/>
  <c r="G31" i="42" s="1"/>
  <c r="G33" i="42" s="1"/>
  <c r="G34" i="42" s="1"/>
  <c r="E30" i="42"/>
  <c r="F23" i="40" l="1"/>
  <c r="F11" i="40"/>
  <c r="F12" i="40"/>
  <c r="F10" i="40"/>
  <c r="E81" i="40" l="1"/>
  <c r="I81" i="40" s="1"/>
  <c r="E79" i="40"/>
  <c r="I79" i="40" s="1"/>
  <c r="E77" i="40"/>
  <c r="E73" i="40"/>
  <c r="E71" i="40"/>
  <c r="E70" i="40"/>
  <c r="E69" i="40"/>
  <c r="E68" i="40"/>
  <c r="E67" i="40"/>
  <c r="E66" i="40"/>
  <c r="F19" i="41"/>
  <c r="F20" i="41"/>
  <c r="F21" i="41"/>
  <c r="F22" i="41"/>
  <c r="F23" i="41"/>
  <c r="F24" i="41"/>
  <c r="F18" i="41"/>
  <c r="F14" i="41"/>
  <c r="E8" i="41"/>
  <c r="H10" i="40" l="1"/>
  <c r="G118" i="42" l="1"/>
  <c r="G115" i="42"/>
  <c r="H111" i="42"/>
  <c r="H32" i="42"/>
  <c r="H46" i="40"/>
  <c r="H35" i="40"/>
  <c r="H30" i="40"/>
  <c r="H31" i="40"/>
  <c r="H32" i="40"/>
  <c r="H33" i="40"/>
  <c r="H29" i="40"/>
  <c r="R71" i="48" l="1"/>
  <c r="R69" i="48"/>
  <c r="C9" i="41" l="1"/>
  <c r="C22" i="45" l="1"/>
  <c r="C21" i="45"/>
  <c r="C20" i="45"/>
  <c r="C19" i="45"/>
  <c r="C18" i="45"/>
  <c r="C17" i="45"/>
  <c r="B14" i="45"/>
  <c r="C14" i="45" s="1"/>
  <c r="B13" i="45"/>
  <c r="C13" i="45" s="1"/>
  <c r="F33" i="40" l="1"/>
  <c r="F30" i="40"/>
  <c r="K79" i="42" l="1"/>
  <c r="M10" i="47"/>
  <c r="M11" i="47"/>
  <c r="M12" i="47"/>
  <c r="M13" i="47"/>
  <c r="M14" i="47"/>
  <c r="M15" i="47"/>
  <c r="M16" i="47"/>
  <c r="M17" i="47"/>
  <c r="M20" i="47"/>
  <c r="M21" i="47"/>
  <c r="M22" i="47"/>
  <c r="M23" i="47"/>
  <c r="M24" i="47"/>
  <c r="M26" i="47"/>
  <c r="M9" i="47"/>
  <c r="Q85" i="48" l="1"/>
  <c r="Q72" i="48"/>
  <c r="Q70" i="48"/>
  <c r="Q68" i="48"/>
  <c r="P85" i="48"/>
  <c r="P72" i="48"/>
  <c r="P70" i="48"/>
  <c r="P68" i="48"/>
  <c r="O85" i="48"/>
  <c r="O72" i="48"/>
  <c r="O70" i="48"/>
  <c r="O68" i="48"/>
  <c r="P23" i="47"/>
  <c r="P22" i="47"/>
  <c r="P21" i="47"/>
  <c r="P20" i="47"/>
  <c r="P19" i="47"/>
  <c r="P18" i="47"/>
  <c r="P17" i="47"/>
  <c r="P16" i="47"/>
  <c r="P15" i="47"/>
  <c r="P14" i="47"/>
  <c r="P13" i="47"/>
  <c r="P12" i="47"/>
  <c r="P10" i="47"/>
  <c r="P11" i="47"/>
  <c r="P9" i="47"/>
  <c r="E18" i="42"/>
  <c r="O88" i="48" l="1"/>
  <c r="Q88" i="48"/>
  <c r="R72" i="48"/>
  <c r="R70" i="48"/>
  <c r="R85" i="48"/>
  <c r="P88" i="48"/>
  <c r="K93" i="42" s="1"/>
  <c r="R68" i="48"/>
  <c r="E16" i="42"/>
  <c r="E15" i="42"/>
  <c r="E14" i="42"/>
  <c r="E13" i="42"/>
  <c r="E9" i="42"/>
  <c r="E17" i="42" l="1"/>
  <c r="H26" i="41"/>
  <c r="H25" i="41"/>
  <c r="H24" i="41"/>
  <c r="H23" i="41"/>
  <c r="H22" i="41"/>
  <c r="H21" i="41"/>
  <c r="H20" i="41"/>
  <c r="H19" i="41"/>
  <c r="H18" i="41"/>
  <c r="G16" i="41"/>
  <c r="G27" i="41" s="1"/>
  <c r="H14" i="41"/>
  <c r="H16" i="41" s="1"/>
  <c r="H118" i="42"/>
  <c r="H117" i="42"/>
  <c r="H116" i="42"/>
  <c r="H115" i="42"/>
  <c r="H114" i="42"/>
  <c r="H113" i="42"/>
  <c r="H112" i="42"/>
  <c r="H107" i="42"/>
  <c r="H104" i="42"/>
  <c r="H103" i="42"/>
  <c r="H102" i="42"/>
  <c r="H101" i="42"/>
  <c r="H100" i="42"/>
  <c r="H99" i="42"/>
  <c r="H98" i="42"/>
  <c r="H97" i="42"/>
  <c r="H93" i="42"/>
  <c r="G82" i="42"/>
  <c r="H64" i="42"/>
  <c r="H63" i="42"/>
  <c r="H62" i="42"/>
  <c r="H61" i="42"/>
  <c r="G51" i="42"/>
  <c r="G53" i="42" s="1"/>
  <c r="H52" i="42"/>
  <c r="H50" i="42"/>
  <c r="H49" i="42"/>
  <c r="H48" i="42"/>
  <c r="H47" i="42"/>
  <c r="H43" i="42"/>
  <c r="H30" i="42"/>
  <c r="H29" i="42"/>
  <c r="H28" i="42"/>
  <c r="H27" i="42"/>
  <c r="H23" i="42"/>
  <c r="G82" i="40"/>
  <c r="H81" i="40"/>
  <c r="H80" i="40"/>
  <c r="H79" i="40"/>
  <c r="H78" i="40"/>
  <c r="H77" i="40"/>
  <c r="H76" i="40"/>
  <c r="H75" i="40"/>
  <c r="G74" i="40"/>
  <c r="G83" i="40" s="1"/>
  <c r="H73" i="40"/>
  <c r="H72" i="40"/>
  <c r="H71" i="40"/>
  <c r="H70" i="40"/>
  <c r="H69" i="40"/>
  <c r="H68" i="40"/>
  <c r="H67" i="40"/>
  <c r="H66" i="40"/>
  <c r="G34" i="40"/>
  <c r="H31" i="42" l="1"/>
  <c r="H33" i="42" s="1"/>
  <c r="H27" i="41"/>
  <c r="H51" i="42"/>
  <c r="H34" i="40"/>
  <c r="H74" i="40"/>
  <c r="H83" i="40" s="1"/>
  <c r="H82" i="40"/>
  <c r="P8" i="44"/>
  <c r="K88" i="42" l="1"/>
  <c r="E88" i="42" s="1"/>
  <c r="K86" i="42"/>
  <c r="K85" i="42"/>
  <c r="K84" i="42"/>
  <c r="K83" i="42"/>
  <c r="N9" i="47"/>
  <c r="N10" i="47"/>
  <c r="N11" i="47"/>
  <c r="N12" i="47"/>
  <c r="N13" i="47"/>
  <c r="N14" i="47"/>
  <c r="N15" i="47"/>
  <c r="N16" i="47"/>
  <c r="N17" i="47"/>
  <c r="N18" i="47"/>
  <c r="N19" i="47"/>
  <c r="N20" i="47"/>
  <c r="N21" i="47"/>
  <c r="N22" i="47"/>
  <c r="N23" i="47"/>
  <c r="N24" i="47"/>
  <c r="N25" i="47"/>
  <c r="E28" i="42"/>
  <c r="E27" i="42"/>
  <c r="R6" i="44"/>
  <c r="R7" i="44" s="1"/>
  <c r="B23" i="45"/>
  <c r="E84" i="42" l="1"/>
  <c r="E85" i="42"/>
  <c r="E61" i="42"/>
  <c r="E86" i="42"/>
  <c r="E57" i="42"/>
  <c r="O9" i="47"/>
  <c r="K97" i="42" s="1"/>
  <c r="K87" i="42"/>
  <c r="K89" i="42" s="1"/>
  <c r="K90" i="42" s="1"/>
  <c r="E83" i="42"/>
  <c r="O10" i="47"/>
  <c r="K98" i="42" s="1"/>
  <c r="O12" i="47"/>
  <c r="K100" i="42" s="1"/>
  <c r="O15" i="47"/>
  <c r="O16" i="47"/>
  <c r="O18" i="47"/>
  <c r="O20" i="47"/>
  <c r="O21" i="47"/>
  <c r="O24" i="47"/>
  <c r="O17" i="47" l="1"/>
  <c r="O25" i="47"/>
  <c r="O19" i="47"/>
  <c r="O14" i="47"/>
  <c r="O23" i="47"/>
  <c r="O22" i="47"/>
  <c r="O13" i="47"/>
  <c r="K102" i="42" s="1"/>
  <c r="O11" i="47"/>
  <c r="K99" i="42" s="1"/>
  <c r="O25" i="46"/>
  <c r="K25" i="46"/>
  <c r="J25" i="46"/>
  <c r="F25" i="46"/>
  <c r="E25" i="46"/>
  <c r="D25" i="46"/>
  <c r="C25" i="46"/>
  <c r="L24" i="46"/>
  <c r="G24" i="46"/>
  <c r="L23" i="46"/>
  <c r="G23" i="46"/>
  <c r="P23" i="46" s="1"/>
  <c r="L22" i="46"/>
  <c r="G22" i="46"/>
  <c r="O21" i="46"/>
  <c r="K21" i="46"/>
  <c r="J21" i="46"/>
  <c r="E21" i="46"/>
  <c r="D21" i="46"/>
  <c r="C21" i="46"/>
  <c r="L20" i="46"/>
  <c r="G20" i="46"/>
  <c r="L19" i="46"/>
  <c r="G19" i="46"/>
  <c r="P19" i="46" s="1"/>
  <c r="L18" i="46"/>
  <c r="G18" i="46"/>
  <c r="P18" i="46" s="1"/>
  <c r="O17" i="46"/>
  <c r="J17" i="46"/>
  <c r="E17" i="46"/>
  <c r="D17" i="46"/>
  <c r="C17" i="46"/>
  <c r="K16" i="46"/>
  <c r="K17" i="46" s="1"/>
  <c r="G16" i="46"/>
  <c r="P16" i="46" s="1"/>
  <c r="L15" i="46"/>
  <c r="G15" i="46"/>
  <c r="P15" i="46" s="1"/>
  <c r="L14" i="46"/>
  <c r="G14" i="46"/>
  <c r="O13" i="46"/>
  <c r="K13" i="46"/>
  <c r="J13" i="46"/>
  <c r="D13" i="46"/>
  <c r="C13" i="46"/>
  <c r="L12" i="46"/>
  <c r="E12" i="46"/>
  <c r="E13" i="46" s="1"/>
  <c r="L11" i="46"/>
  <c r="G11" i="46"/>
  <c r="F11" i="46"/>
  <c r="F12" i="46" s="1"/>
  <c r="L10" i="46"/>
  <c r="G10" i="46"/>
  <c r="J26" i="46" l="1"/>
  <c r="H16" i="46"/>
  <c r="I16" i="46" s="1"/>
  <c r="H18" i="46"/>
  <c r="I18" i="46" s="1"/>
  <c r="O26" i="46"/>
  <c r="L21" i="46"/>
  <c r="G12" i="46"/>
  <c r="G17" i="46"/>
  <c r="H17" i="46" s="1"/>
  <c r="H23" i="46"/>
  <c r="M23" i="46" s="1"/>
  <c r="N23" i="46" s="1"/>
  <c r="L25" i="46"/>
  <c r="H20" i="46"/>
  <c r="P20" i="46"/>
  <c r="H15" i="46"/>
  <c r="I15" i="46" s="1"/>
  <c r="H19" i="46"/>
  <c r="H22" i="46"/>
  <c r="P22" i="46"/>
  <c r="I23" i="46"/>
  <c r="G13" i="46"/>
  <c r="P10" i="46"/>
  <c r="H12" i="46"/>
  <c r="I12" i="46" s="1"/>
  <c r="P12" i="46"/>
  <c r="E26" i="46"/>
  <c r="H14" i="46"/>
  <c r="M14" i="46" s="1"/>
  <c r="N14" i="46" s="1"/>
  <c r="P14" i="46"/>
  <c r="G25" i="46"/>
  <c r="H25" i="46" s="1"/>
  <c r="P13" i="46"/>
  <c r="H11" i="46"/>
  <c r="I11" i="46" s="1"/>
  <c r="P11" i="46"/>
  <c r="C26" i="46"/>
  <c r="P17" i="46"/>
  <c r="G21" i="46"/>
  <c r="H21" i="46" s="1"/>
  <c r="I21" i="46" s="1"/>
  <c r="H24" i="46"/>
  <c r="I24" i="46" s="1"/>
  <c r="P24" i="46"/>
  <c r="H13" i="46"/>
  <c r="M20" i="46"/>
  <c r="N20" i="46" s="1"/>
  <c r="I20" i="46"/>
  <c r="F13" i="46"/>
  <c r="F14" i="46"/>
  <c r="I14" i="46"/>
  <c r="L17" i="46"/>
  <c r="K26" i="46"/>
  <c r="L26" i="46" s="1"/>
  <c r="I17" i="46"/>
  <c r="I25" i="46"/>
  <c r="I22" i="46"/>
  <c r="M22" i="46"/>
  <c r="N22" i="46" s="1"/>
  <c r="D26" i="46"/>
  <c r="E46" i="46"/>
  <c r="L13" i="46"/>
  <c r="M18" i="46"/>
  <c r="N18" i="46" s="1"/>
  <c r="H10" i="46"/>
  <c r="L16" i="46"/>
  <c r="M16" i="46" s="1"/>
  <c r="N16" i="46" s="1"/>
  <c r="M17" i="46" l="1"/>
  <c r="N17" i="46" s="1"/>
  <c r="P21" i="46"/>
  <c r="P25" i="46"/>
  <c r="M25" i="46"/>
  <c r="N25" i="46" s="1"/>
  <c r="M15" i="46"/>
  <c r="N15" i="46" s="1"/>
  <c r="M21" i="46"/>
  <c r="N21" i="46" s="1"/>
  <c r="M12" i="46"/>
  <c r="N12" i="46" s="1"/>
  <c r="M11" i="46"/>
  <c r="N11" i="46" s="1"/>
  <c r="M19" i="46"/>
  <c r="N19" i="46" s="1"/>
  <c r="I19" i="46"/>
  <c r="M24" i="46"/>
  <c r="N24" i="46" s="1"/>
  <c r="G26" i="46"/>
  <c r="H26" i="46" s="1"/>
  <c r="I26" i="46" s="1"/>
  <c r="F16" i="46"/>
  <c r="F18" i="46" s="1"/>
  <c r="F15" i="46"/>
  <c r="M13" i="46"/>
  <c r="N13" i="46" s="1"/>
  <c r="I13" i="46"/>
  <c r="M10" i="46"/>
  <c r="N10" i="46" s="1"/>
  <c r="I10" i="46"/>
  <c r="F17" i="46" l="1"/>
  <c r="M26" i="46"/>
  <c r="N26" i="46" s="1"/>
  <c r="P26" i="46"/>
  <c r="F19" i="46"/>
  <c r="F20" i="46"/>
  <c r="F21" i="46" l="1"/>
  <c r="F26" i="46" s="1"/>
  <c r="M31" i="45"/>
  <c r="H26" i="45"/>
  <c r="V25" i="45"/>
  <c r="L25" i="45"/>
  <c r="H25" i="45"/>
  <c r="C25" i="45"/>
  <c r="L23" i="45"/>
  <c r="H23" i="45"/>
  <c r="F23" i="45"/>
  <c r="W22" i="45"/>
  <c r="X22" i="45" s="1"/>
  <c r="V22" i="45"/>
  <c r="Q22" i="45"/>
  <c r="U22" i="45" s="1"/>
  <c r="O22" i="45"/>
  <c r="O23" i="45" s="1"/>
  <c r="M22" i="45"/>
  <c r="N22" i="45" s="1"/>
  <c r="G22" i="45"/>
  <c r="Y21" i="45"/>
  <c r="Y22" i="45" s="1"/>
  <c r="X21" i="45"/>
  <c r="U21" i="45"/>
  <c r="T21" i="45"/>
  <c r="S21" i="45"/>
  <c r="R21" i="45"/>
  <c r="M21" i="45"/>
  <c r="N21" i="45" s="1"/>
  <c r="W20" i="45"/>
  <c r="X20" i="45" s="1"/>
  <c r="V20" i="45"/>
  <c r="U20" i="45"/>
  <c r="T20" i="45"/>
  <c r="S20" i="45"/>
  <c r="R20" i="45"/>
  <c r="J25" i="45"/>
  <c r="I25" i="45"/>
  <c r="D25" i="45"/>
  <c r="W17" i="45"/>
  <c r="V17" i="45"/>
  <c r="U17" i="45"/>
  <c r="T17" i="45"/>
  <c r="S17" i="45"/>
  <c r="R17" i="45"/>
  <c r="J23" i="45"/>
  <c r="C23" i="45"/>
  <c r="L15" i="45"/>
  <c r="I15" i="45"/>
  <c r="H15" i="45"/>
  <c r="F15" i="45"/>
  <c r="W14" i="45"/>
  <c r="X14" i="45" s="1"/>
  <c r="V14" i="45"/>
  <c r="Q14" i="45"/>
  <c r="U14" i="45" s="1"/>
  <c r="O14" i="45"/>
  <c r="J15" i="45"/>
  <c r="G14" i="45"/>
  <c r="B15" i="45"/>
  <c r="B24" i="45" s="1"/>
  <c r="W13" i="45"/>
  <c r="X13" i="45" s="1"/>
  <c r="V13" i="45"/>
  <c r="U13" i="45"/>
  <c r="T13" i="45"/>
  <c r="S13" i="45"/>
  <c r="R13" i="45"/>
  <c r="O13" i="45"/>
  <c r="M13" i="45"/>
  <c r="N13" i="45" s="1"/>
  <c r="E15" i="45"/>
  <c r="D15" i="45"/>
  <c r="G13" i="45"/>
  <c r="A4" i="45"/>
  <c r="G7" i="44"/>
  <c r="G10" i="44" s="1"/>
  <c r="R10" i="44"/>
  <c r="X7" i="44"/>
  <c r="Z7" i="44" s="1"/>
  <c r="E8" i="44"/>
  <c r="E12" i="44" s="1"/>
  <c r="X8" i="44"/>
  <c r="Z8" i="44" s="1"/>
  <c r="G9" i="44"/>
  <c r="V9" i="44"/>
  <c r="X9" i="44"/>
  <c r="Z9" i="44" s="1"/>
  <c r="X11" i="44"/>
  <c r="Z11" i="44" s="1"/>
  <c r="X12" i="44"/>
  <c r="Z12" i="44"/>
  <c r="V13" i="44"/>
  <c r="X13" i="44"/>
  <c r="Z13" i="44"/>
  <c r="E14" i="44"/>
  <c r="G16" i="44"/>
  <c r="V17" i="44"/>
  <c r="R25" i="44"/>
  <c r="R28" i="44" s="1"/>
  <c r="P26" i="44"/>
  <c r="V27" i="44"/>
  <c r="V31" i="44"/>
  <c r="W32" i="44"/>
  <c r="V35" i="44"/>
  <c r="R45" i="44"/>
  <c r="R48" i="44" s="1"/>
  <c r="S48" i="44" s="1"/>
  <c r="P46" i="44"/>
  <c r="V47" i="44"/>
  <c r="V51" i="44"/>
  <c r="V55" i="44"/>
  <c r="P57" i="44"/>
  <c r="F9" i="41"/>
  <c r="I12" i="40"/>
  <c r="J10" i="40"/>
  <c r="I10" i="40"/>
  <c r="S28" i="44" l="1"/>
  <c r="Z14" i="44"/>
  <c r="F14" i="44"/>
  <c r="T14" i="45"/>
  <c r="T15" i="45" s="1"/>
  <c r="Q23" i="45"/>
  <c r="Q24" i="45" s="1"/>
  <c r="R14" i="45"/>
  <c r="W23" i="45"/>
  <c r="V15" i="45"/>
  <c r="J24" i="45"/>
  <c r="J26" i="45" s="1"/>
  <c r="S14" i="45"/>
  <c r="S15" i="45" s="1"/>
  <c r="X10" i="44"/>
  <c r="Z10" i="44" s="1"/>
  <c r="P9" i="44"/>
  <c r="P12" i="44" s="1"/>
  <c r="P17" i="44" s="1"/>
  <c r="H10" i="44"/>
  <c r="R15" i="45"/>
  <c r="X14" i="44"/>
  <c r="E17" i="44"/>
  <c r="X15" i="45"/>
  <c r="O15" i="45"/>
  <c r="O24" i="45" s="1"/>
  <c r="O27" i="45" s="1"/>
  <c r="R22" i="45"/>
  <c r="R23" i="45" s="1"/>
  <c r="B26" i="45"/>
  <c r="V23" i="45"/>
  <c r="U15" i="45"/>
  <c r="U23" i="45"/>
  <c r="X17" i="45"/>
  <c r="X23" i="45" s="1"/>
  <c r="V18" i="44"/>
  <c r="S10" i="44"/>
  <c r="H24" i="45"/>
  <c r="L24" i="45"/>
  <c r="L26" i="45" s="1"/>
  <c r="E25" i="45"/>
  <c r="G25" i="45" s="1"/>
  <c r="G15" i="45"/>
  <c r="E23" i="45"/>
  <c r="E24" i="45" s="1"/>
  <c r="C15" i="45"/>
  <c r="C24" i="45" s="1"/>
  <c r="D23" i="45"/>
  <c r="D24" i="45" s="1"/>
  <c r="D26" i="45" s="1"/>
  <c r="M14" i="45"/>
  <c r="N14" i="45" s="1"/>
  <c r="W15" i="45"/>
  <c r="M17" i="45"/>
  <c r="M20" i="45"/>
  <c r="N20" i="45" s="1"/>
  <c r="K25" i="45" s="1"/>
  <c r="O25" i="45" s="1"/>
  <c r="G21" i="45"/>
  <c r="T22" i="45"/>
  <c r="T23" i="45" s="1"/>
  <c r="S22" i="45"/>
  <c r="S23" i="45" s="1"/>
  <c r="I23" i="45"/>
  <c r="I24" i="45" s="1"/>
  <c r="I26" i="45" s="1"/>
  <c r="G17" i="45"/>
  <c r="V36" i="44"/>
  <c r="P27" i="44" s="1"/>
  <c r="P30" i="44" s="1"/>
  <c r="V56" i="44"/>
  <c r="P47" i="44" s="1"/>
  <c r="P50" i="44" s="1"/>
  <c r="AM73" i="40"/>
  <c r="AM74" i="40" s="1"/>
  <c r="AN72" i="40"/>
  <c r="AN71" i="40"/>
  <c r="AN70" i="40"/>
  <c r="AN69" i="40"/>
  <c r="AN68" i="40"/>
  <c r="AN67" i="40"/>
  <c r="AN66" i="40"/>
  <c r="Y14" i="44" l="1"/>
  <c r="Q14" i="44"/>
  <c r="V24" i="45"/>
  <c r="V26" i="45" s="1"/>
  <c r="X24" i="45"/>
  <c r="S24" i="45"/>
  <c r="T24" i="45"/>
  <c r="W24" i="45"/>
  <c r="E26" i="45"/>
  <c r="U24" i="45"/>
  <c r="R24" i="45"/>
  <c r="G20" i="45"/>
  <c r="G23" i="45" s="1"/>
  <c r="C26" i="45"/>
  <c r="G26" i="45" s="1"/>
  <c r="G24" i="45"/>
  <c r="N17" i="45"/>
  <c r="M23" i="45"/>
  <c r="K15" i="45"/>
  <c r="M15" i="45"/>
  <c r="N15" i="45"/>
  <c r="P55" i="44"/>
  <c r="Q52" i="44"/>
  <c r="Q32" i="44"/>
  <c r="P35" i="44"/>
  <c r="AN73" i="40"/>
  <c r="E93" i="42"/>
  <c r="F93" i="42" s="1"/>
  <c r="K96" i="42"/>
  <c r="K101" i="42"/>
  <c r="K103" i="42" s="1"/>
  <c r="E100" i="42"/>
  <c r="F100" i="42" s="1"/>
  <c r="E97" i="42"/>
  <c r="F97" i="42" s="1"/>
  <c r="E79" i="42"/>
  <c r="H90" i="42"/>
  <c r="H89" i="42"/>
  <c r="H88" i="42"/>
  <c r="H87" i="42"/>
  <c r="H86" i="42"/>
  <c r="H85" i="42"/>
  <c r="H84" i="42"/>
  <c r="H83" i="42"/>
  <c r="H82" i="42"/>
  <c r="H79" i="42"/>
  <c r="K23" i="45" l="1"/>
  <c r="K24" i="45" s="1"/>
  <c r="K26" i="45" s="1"/>
  <c r="O26" i="45" s="1"/>
  <c r="N23" i="45"/>
  <c r="N24" i="45" s="1"/>
  <c r="M24" i="45"/>
  <c r="K104" i="42"/>
  <c r="I88" i="42" l="1"/>
  <c r="E102" i="42"/>
  <c r="F102" i="42" s="1"/>
  <c r="J102" i="42" s="1"/>
  <c r="E111" i="42"/>
  <c r="I111" i="42" s="1"/>
  <c r="K15" i="42"/>
  <c r="H23" i="40"/>
  <c r="H20" i="40"/>
  <c r="H19" i="40"/>
  <c r="H18" i="40"/>
  <c r="H17" i="40"/>
  <c r="H16" i="40"/>
  <c r="H15" i="40"/>
  <c r="H13" i="40"/>
  <c r="H12" i="40"/>
  <c r="J12" i="40" s="1"/>
  <c r="H11" i="40"/>
  <c r="I29" i="42"/>
  <c r="F43" i="42"/>
  <c r="F46" i="42" s="1"/>
  <c r="J46" i="42" s="1"/>
  <c r="E107" i="42"/>
  <c r="I107" i="42" s="1"/>
  <c r="F77" i="40"/>
  <c r="J77" i="40" s="1"/>
  <c r="F67" i="40"/>
  <c r="J67" i="40" s="1"/>
  <c r="I67" i="40"/>
  <c r="I33" i="40"/>
  <c r="F32" i="42"/>
  <c r="J32" i="42" s="1"/>
  <c r="F52" i="42"/>
  <c r="F50" i="42"/>
  <c r="J50" i="42" s="1"/>
  <c r="F49" i="42"/>
  <c r="J49" i="42" s="1"/>
  <c r="F48" i="42"/>
  <c r="J48" i="42" s="1"/>
  <c r="F47" i="42"/>
  <c r="J47" i="42" s="1"/>
  <c r="F30" i="42"/>
  <c r="J100" i="42" s="1"/>
  <c r="F29" i="42"/>
  <c r="J29" i="42" s="1"/>
  <c r="F28" i="42"/>
  <c r="J28" i="42" s="1"/>
  <c r="F27" i="42"/>
  <c r="J27" i="42" s="1"/>
  <c r="K14" i="42"/>
  <c r="K13" i="42"/>
  <c r="K16" i="42"/>
  <c r="K18" i="42"/>
  <c r="I9" i="41"/>
  <c r="F81" i="40"/>
  <c r="J81" i="40" s="1"/>
  <c r="F80" i="40"/>
  <c r="J80" i="40" s="1"/>
  <c r="F78" i="40"/>
  <c r="F76" i="40"/>
  <c r="F75" i="40"/>
  <c r="J75" i="40" s="1"/>
  <c r="F73" i="40"/>
  <c r="J73" i="40" s="1"/>
  <c r="F72" i="40"/>
  <c r="F71" i="40"/>
  <c r="J20" i="41" s="1"/>
  <c r="F70" i="40"/>
  <c r="J22" i="41" s="1"/>
  <c r="F68" i="40"/>
  <c r="J23" i="41" s="1"/>
  <c r="F66" i="40"/>
  <c r="I71" i="40"/>
  <c r="F69" i="40"/>
  <c r="J69" i="40" s="1"/>
  <c r="H110" i="42"/>
  <c r="AN74" i="40"/>
  <c r="AG79" i="40"/>
  <c r="AK30" i="40"/>
  <c r="AK33" i="40"/>
  <c r="F37" i="41"/>
  <c r="F35" i="41"/>
  <c r="I68" i="40"/>
  <c r="I52" i="42"/>
  <c r="I48" i="42"/>
  <c r="E112" i="42"/>
  <c r="I112" i="42" s="1"/>
  <c r="I32" i="42"/>
  <c r="I27" i="42"/>
  <c r="H9" i="42"/>
  <c r="H12" i="42" s="1"/>
  <c r="L73" i="40"/>
  <c r="M67" i="40" s="1"/>
  <c r="E12" i="42"/>
  <c r="F9" i="42"/>
  <c r="F12" i="42" s="1"/>
  <c r="G110" i="42"/>
  <c r="H96" i="42"/>
  <c r="H18" i="42"/>
  <c r="H16" i="42"/>
  <c r="H15" i="42"/>
  <c r="H14" i="42"/>
  <c r="H13" i="42"/>
  <c r="G42" i="40"/>
  <c r="G63" i="40" s="1"/>
  <c r="G5" i="42" s="1"/>
  <c r="G39" i="42" s="1"/>
  <c r="G75" i="42" s="1"/>
  <c r="G3" i="41" s="1"/>
  <c r="E42" i="40"/>
  <c r="E63" i="40" s="1"/>
  <c r="E5" i="42" s="1"/>
  <c r="E39" i="42" s="1"/>
  <c r="E75" i="42" s="1"/>
  <c r="E3" i="41" s="1"/>
  <c r="H44" i="40"/>
  <c r="F16" i="42"/>
  <c r="F14" i="42"/>
  <c r="F13" i="42"/>
  <c r="I24" i="41"/>
  <c r="H26" i="42"/>
  <c r="H34" i="42" s="1"/>
  <c r="E14" i="40"/>
  <c r="E46" i="40" s="1"/>
  <c r="E51" i="40" s="1"/>
  <c r="H66" i="42"/>
  <c r="H53" i="42"/>
  <c r="H46" i="42"/>
  <c r="G46" i="42"/>
  <c r="G54" i="42" s="1"/>
  <c r="H57" i="42"/>
  <c r="H60" i="42" s="1"/>
  <c r="G60" i="42"/>
  <c r="G44" i="40"/>
  <c r="G14" i="40"/>
  <c r="G5" i="41"/>
  <c r="I91" i="42"/>
  <c r="I21" i="42"/>
  <c r="F18" i="42"/>
  <c r="J18" i="42" s="1"/>
  <c r="I18" i="42"/>
  <c r="I13" i="42"/>
  <c r="I9" i="42"/>
  <c r="I14" i="42"/>
  <c r="I47" i="42"/>
  <c r="H5" i="41"/>
  <c r="I5" i="41"/>
  <c r="J5" i="41"/>
  <c r="F5" i="41"/>
  <c r="E5" i="41"/>
  <c r="J44" i="40"/>
  <c r="J65" i="40" s="1"/>
  <c r="J7" i="42" s="1"/>
  <c r="J77" i="42" s="1"/>
  <c r="I44" i="40"/>
  <c r="I65" i="40" s="1"/>
  <c r="I7" i="42" s="1"/>
  <c r="I41" i="42" s="1"/>
  <c r="J30" i="41"/>
  <c r="I30" i="41"/>
  <c r="I28" i="41"/>
  <c r="H29" i="41"/>
  <c r="J84" i="40"/>
  <c r="H65" i="40"/>
  <c r="H7" i="42" s="1"/>
  <c r="H77" i="42" s="1"/>
  <c r="G65" i="40"/>
  <c r="G7" i="42" s="1"/>
  <c r="G41" i="42" s="1"/>
  <c r="G77" i="42" s="1"/>
  <c r="F65" i="40"/>
  <c r="F7" i="42" s="1"/>
  <c r="E65" i="40"/>
  <c r="E7" i="42" s="1"/>
  <c r="E41" i="42" s="1"/>
  <c r="E77" i="42" s="1"/>
  <c r="F44" i="40"/>
  <c r="E44" i="40"/>
  <c r="J33" i="40"/>
  <c r="J30" i="40"/>
  <c r="I30" i="40"/>
  <c r="F14" i="40"/>
  <c r="I11" i="40"/>
  <c r="I16" i="42"/>
  <c r="I50" i="42"/>
  <c r="E116" i="42"/>
  <c r="I116" i="42" s="1"/>
  <c r="I61" i="42"/>
  <c r="I97" i="42"/>
  <c r="E66" i="42"/>
  <c r="I66" i="42" s="1"/>
  <c r="I28" i="42"/>
  <c r="I23" i="41"/>
  <c r="I18" i="41"/>
  <c r="I22" i="41"/>
  <c r="I70" i="40"/>
  <c r="I30" i="42"/>
  <c r="E114" i="42"/>
  <c r="I114" i="42" s="1"/>
  <c r="E64" i="42"/>
  <c r="I64" i="42" s="1"/>
  <c r="E62" i="42"/>
  <c r="I62" i="42" s="1"/>
  <c r="E46" i="42"/>
  <c r="I49" i="42"/>
  <c r="E51" i="42"/>
  <c r="I69" i="40"/>
  <c r="I19" i="41"/>
  <c r="I75" i="40"/>
  <c r="I66" i="40"/>
  <c r="E74" i="40"/>
  <c r="E83" i="40" s="1"/>
  <c r="I83" i="40" s="1"/>
  <c r="E16" i="41"/>
  <c r="J9" i="41"/>
  <c r="I77" i="40"/>
  <c r="I23" i="42"/>
  <c r="I93" i="42"/>
  <c r="F23" i="42"/>
  <c r="E26" i="42"/>
  <c r="E63" i="42"/>
  <c r="I63" i="42" s="1"/>
  <c r="I100" i="42"/>
  <c r="I57" i="42"/>
  <c r="F79" i="42"/>
  <c r="F82" i="42" s="1"/>
  <c r="J82" i="42" s="1"/>
  <c r="I20" i="41"/>
  <c r="J52" i="42"/>
  <c r="J70" i="40"/>
  <c r="I43" i="42"/>
  <c r="J14" i="42"/>
  <c r="M69" i="40" l="1"/>
  <c r="L54" i="42"/>
  <c r="G68" i="42"/>
  <c r="H14" i="40"/>
  <c r="G21" i="40"/>
  <c r="J11" i="40"/>
  <c r="G51" i="40"/>
  <c r="I51" i="40" s="1"/>
  <c r="I17" i="42"/>
  <c r="I46" i="42"/>
  <c r="H54" i="42"/>
  <c r="H68" i="42" s="1"/>
  <c r="J24" i="41"/>
  <c r="F46" i="40"/>
  <c r="F51" i="40" s="1"/>
  <c r="J43" i="42"/>
  <c r="F112" i="42"/>
  <c r="J112" i="42" s="1"/>
  <c r="I51" i="42"/>
  <c r="G65" i="42"/>
  <c r="J13" i="42"/>
  <c r="M71" i="40"/>
  <c r="J66" i="40"/>
  <c r="I8" i="41"/>
  <c r="F8" i="41"/>
  <c r="J8" i="41" s="1"/>
  <c r="K12" i="42"/>
  <c r="F88" i="42"/>
  <c r="J88" i="42" s="1"/>
  <c r="F64" i="42"/>
  <c r="J64" i="42" s="1"/>
  <c r="J16" i="42"/>
  <c r="H41" i="42"/>
  <c r="H67" i="42"/>
  <c r="J30" i="42"/>
  <c r="F114" i="42"/>
  <c r="J114" i="42" s="1"/>
  <c r="F21" i="40"/>
  <c r="E22" i="40"/>
  <c r="J71" i="40"/>
  <c r="J19" i="41"/>
  <c r="J68" i="40"/>
  <c r="F74" i="40"/>
  <c r="F83" i="40" s="1"/>
  <c r="J83" i="40" s="1"/>
  <c r="J18" i="41"/>
  <c r="J14" i="41"/>
  <c r="F16" i="41"/>
  <c r="J16" i="41" s="1"/>
  <c r="I74" i="40"/>
  <c r="I46" i="40"/>
  <c r="I14" i="40"/>
  <c r="I14" i="41"/>
  <c r="J41" i="42"/>
  <c r="F116" i="42"/>
  <c r="J116" i="42" s="1"/>
  <c r="F66" i="42"/>
  <c r="J66" i="42" s="1"/>
  <c r="F62" i="42"/>
  <c r="J62" i="42" s="1"/>
  <c r="G67" i="42"/>
  <c r="I102" i="42"/>
  <c r="E98" i="42"/>
  <c r="F98" i="42" s="1"/>
  <c r="J98" i="42" s="1"/>
  <c r="F84" i="42"/>
  <c r="J84" i="42" s="1"/>
  <c r="H65" i="42"/>
  <c r="J23" i="42"/>
  <c r="I26" i="42"/>
  <c r="H17" i="42"/>
  <c r="H19" i="42" s="1"/>
  <c r="E31" i="42"/>
  <c r="E33" i="42" s="1"/>
  <c r="I85" i="42"/>
  <c r="E99" i="42"/>
  <c r="E60" i="42"/>
  <c r="E54" i="40" s="1"/>
  <c r="F57" i="42"/>
  <c r="J57" i="42" s="1"/>
  <c r="F61" i="42"/>
  <c r="J61" i="42" s="1"/>
  <c r="E96" i="42"/>
  <c r="I79" i="42"/>
  <c r="J79" i="42"/>
  <c r="E82" i="42"/>
  <c r="I82" i="42" s="1"/>
  <c r="I83" i="42"/>
  <c r="F83" i="42"/>
  <c r="J83" i="42" s="1"/>
  <c r="I86" i="42"/>
  <c r="F86" i="42"/>
  <c r="J86" i="42" s="1"/>
  <c r="E53" i="42"/>
  <c r="E54" i="42" s="1"/>
  <c r="F51" i="42"/>
  <c r="F53" i="42" s="1"/>
  <c r="F63" i="42"/>
  <c r="J63" i="42" s="1"/>
  <c r="F31" i="42"/>
  <c r="J97" i="42"/>
  <c r="F26" i="42"/>
  <c r="J93" i="42"/>
  <c r="E110" i="42"/>
  <c r="I110" i="42" s="1"/>
  <c r="F107" i="42"/>
  <c r="J9" i="42"/>
  <c r="I16" i="41"/>
  <c r="E27" i="41"/>
  <c r="I77" i="42"/>
  <c r="E113" i="42"/>
  <c r="I113" i="42" s="1"/>
  <c r="E19" i="42"/>
  <c r="E20" i="42" s="1"/>
  <c r="I15" i="42"/>
  <c r="F15" i="42"/>
  <c r="F111" i="42"/>
  <c r="J111" i="42" s="1"/>
  <c r="J14" i="40"/>
  <c r="H21" i="40"/>
  <c r="J12" i="42"/>
  <c r="I12" i="42"/>
  <c r="F22" i="40" l="1"/>
  <c r="E24" i="40"/>
  <c r="F24" i="40" s="1"/>
  <c r="F25" i="40" s="1"/>
  <c r="I27" i="41"/>
  <c r="I60" i="42"/>
  <c r="I20" i="42"/>
  <c r="I54" i="40"/>
  <c r="F85" i="42"/>
  <c r="J85" i="42" s="1"/>
  <c r="E115" i="42"/>
  <c r="I115" i="42" s="1"/>
  <c r="E65" i="42"/>
  <c r="I65" i="42" s="1"/>
  <c r="I31" i="42"/>
  <c r="J21" i="40"/>
  <c r="J74" i="40"/>
  <c r="F27" i="41"/>
  <c r="J27" i="41" s="1"/>
  <c r="I84" i="42"/>
  <c r="E117" i="42"/>
  <c r="I117" i="42" s="1"/>
  <c r="I19" i="42"/>
  <c r="I98" i="42"/>
  <c r="I96" i="42"/>
  <c r="F96" i="42"/>
  <c r="J96" i="42" s="1"/>
  <c r="E87" i="42"/>
  <c r="F87" i="42" s="1"/>
  <c r="J87" i="42" s="1"/>
  <c r="E101" i="42"/>
  <c r="F101" i="42" s="1"/>
  <c r="F99" i="42"/>
  <c r="J99" i="42" s="1"/>
  <c r="J101" i="42" s="1"/>
  <c r="I99" i="42"/>
  <c r="E103" i="42"/>
  <c r="F103" i="42" s="1"/>
  <c r="J103" i="42" s="1"/>
  <c r="E89" i="42"/>
  <c r="F89" i="42" s="1"/>
  <c r="J89" i="42" s="1"/>
  <c r="I54" i="42"/>
  <c r="E31" i="40"/>
  <c r="E29" i="40" s="1"/>
  <c r="I53" i="42"/>
  <c r="E67" i="42"/>
  <c r="E55" i="40" s="1"/>
  <c r="I55" i="40" s="1"/>
  <c r="E34" i="42"/>
  <c r="F65" i="42"/>
  <c r="J65" i="42" s="1"/>
  <c r="J51" i="42"/>
  <c r="J53" i="42"/>
  <c r="F54" i="42"/>
  <c r="I33" i="42"/>
  <c r="F33" i="42"/>
  <c r="F67" i="42" s="1"/>
  <c r="J31" i="42"/>
  <c r="F60" i="42"/>
  <c r="J26" i="42"/>
  <c r="F110" i="42"/>
  <c r="J110" i="42" s="1"/>
  <c r="J107" i="42"/>
  <c r="J15" i="42"/>
  <c r="F113" i="42"/>
  <c r="J113" i="42" s="1"/>
  <c r="F17" i="42"/>
  <c r="J46" i="40"/>
  <c r="H51" i="40"/>
  <c r="J51" i="40" s="1"/>
  <c r="G22" i="40"/>
  <c r="G24" i="40" s="1"/>
  <c r="I21" i="40"/>
  <c r="H20" i="42"/>
  <c r="G25" i="40" l="1"/>
  <c r="H24" i="40"/>
  <c r="I29" i="40"/>
  <c r="I103" i="42"/>
  <c r="I87" i="42"/>
  <c r="I101" i="42"/>
  <c r="I89" i="42"/>
  <c r="I22" i="40"/>
  <c r="H22" i="40"/>
  <c r="F34" i="42"/>
  <c r="F68" i="42" s="1"/>
  <c r="F69" i="42" s="1"/>
  <c r="J33" i="42"/>
  <c r="E68" i="42"/>
  <c r="E69" i="42" s="1"/>
  <c r="I69" i="42" s="1"/>
  <c r="E104" i="42"/>
  <c r="E90" i="42"/>
  <c r="I34" i="42"/>
  <c r="E118" i="42"/>
  <c r="I118" i="42" s="1"/>
  <c r="I31" i="40"/>
  <c r="I67" i="42"/>
  <c r="F31" i="40"/>
  <c r="J54" i="42"/>
  <c r="K28" i="42"/>
  <c r="K27" i="42"/>
  <c r="K29" i="42"/>
  <c r="K23" i="42"/>
  <c r="K30" i="42"/>
  <c r="K32" i="42"/>
  <c r="I23" i="40"/>
  <c r="F55" i="40"/>
  <c r="J55" i="40" s="1"/>
  <c r="J67" i="42"/>
  <c r="F54" i="40"/>
  <c r="J54" i="40" s="1"/>
  <c r="J60" i="42"/>
  <c r="F19" i="42"/>
  <c r="F115" i="42"/>
  <c r="J115" i="42" s="1"/>
  <c r="J17" i="42"/>
  <c r="H25" i="40" l="1"/>
  <c r="E82" i="40"/>
  <c r="F7" i="41"/>
  <c r="J22" i="40"/>
  <c r="I24" i="40"/>
  <c r="E25" i="40"/>
  <c r="E56" i="40"/>
  <c r="I56" i="40" s="1"/>
  <c r="J34" i="42"/>
  <c r="I68" i="42"/>
  <c r="F79" i="40"/>
  <c r="J79" i="40" s="1"/>
  <c r="F104" i="42"/>
  <c r="J104" i="42" s="1"/>
  <c r="I104" i="42"/>
  <c r="I90" i="42"/>
  <c r="F90" i="42"/>
  <c r="J90" i="42" s="1"/>
  <c r="J31" i="40"/>
  <c r="F34" i="40"/>
  <c r="F29" i="40"/>
  <c r="J29" i="40" s="1"/>
  <c r="K31" i="42"/>
  <c r="K26" i="42"/>
  <c r="F56" i="40"/>
  <c r="J56" i="40" s="1"/>
  <c r="J68" i="42"/>
  <c r="F117" i="42"/>
  <c r="J117" i="42" s="1"/>
  <c r="F20" i="42"/>
  <c r="J19" i="42"/>
  <c r="J90" i="40" l="1"/>
  <c r="I82" i="40"/>
  <c r="J24" i="40"/>
  <c r="F82" i="40"/>
  <c r="E10" i="41"/>
  <c r="I7" i="41"/>
  <c r="J23" i="40"/>
  <c r="F10" i="41"/>
  <c r="J7" i="41"/>
  <c r="J34" i="40"/>
  <c r="J35" i="40" s="1"/>
  <c r="F32" i="40"/>
  <c r="J32" i="40" s="1"/>
  <c r="K33" i="42"/>
  <c r="F118" i="42"/>
  <c r="J118" i="42" s="1"/>
  <c r="J20" i="42"/>
  <c r="AH86" i="40" l="1"/>
  <c r="J82" i="40"/>
  <c r="E41" i="41"/>
  <c r="E29" i="41"/>
  <c r="AH83" i="40"/>
  <c r="I10" i="41"/>
  <c r="F29" i="41"/>
  <c r="F38" i="41" s="1"/>
  <c r="J10" i="41"/>
  <c r="K34" i="42"/>
  <c r="AG35" i="40"/>
  <c r="I35" i="40"/>
  <c r="E34" i="40"/>
  <c r="E32" i="40" s="1"/>
  <c r="I32" i="40" s="1"/>
  <c r="I34" i="4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rhmaru13105</author>
  </authors>
  <commentList>
    <comment ref="P49" authorId="0" shapeId="0" xr:uid="{00000000-0006-0000-0300-000001000000}">
      <text>
        <r>
          <rPr>
            <b/>
            <sz val="9"/>
            <color indexed="81"/>
            <rFont val="Tahoma"/>
            <family val="2"/>
          </rPr>
          <t>rhmaru13105:</t>
        </r>
        <r>
          <rPr>
            <sz val="9"/>
            <color indexed="81"/>
            <rFont val="Tahoma"/>
            <family val="2"/>
          </rPr>
          <t xml:space="preserve">
As per TB Piplodh Total Up to Dec-18   508.75 Cr</t>
        </r>
      </text>
    </comment>
  </commentList>
</comments>
</file>

<file path=xl/sharedStrings.xml><?xml version="1.0" encoding="utf-8"?>
<sst xmlns="http://schemas.openxmlformats.org/spreadsheetml/2006/main" count="1133" uniqueCount="438">
  <si>
    <t>Agriculture</t>
  </si>
  <si>
    <t>III  -  SALES AND REVENUE DATA</t>
  </si>
  <si>
    <t>NO.OF CONSUMERS AND UNITS SOLD</t>
  </si>
  <si>
    <t>Page : 5</t>
  </si>
  <si>
    <t>% change</t>
  </si>
  <si>
    <t xml:space="preserve">                                                                                            </t>
  </si>
  <si>
    <t>(A)</t>
  </si>
  <si>
    <t>No. of consumers</t>
  </si>
  <si>
    <t>HT</t>
  </si>
  <si>
    <t>EHT</t>
  </si>
  <si>
    <t>Licensees</t>
  </si>
  <si>
    <t>Total HT + EHT</t>
  </si>
  <si>
    <t>Total LT excluding agriculture</t>
  </si>
  <si>
    <t>Total LT including agriculture</t>
  </si>
  <si>
    <t>Total HT + EHT + LT</t>
  </si>
  <si>
    <t>(B)</t>
  </si>
  <si>
    <t>No. of units sold</t>
  </si>
  <si>
    <t>M.KWH</t>
  </si>
  <si>
    <t>Agriculture ( Un meter + Meter )</t>
  </si>
  <si>
    <t>SALES REVENUE AMOUNT &amp; PAISE/UNIT</t>
  </si>
  <si>
    <t>Page : 6</t>
  </si>
  <si>
    <t>(C)</t>
  </si>
  <si>
    <t>Sales revenue</t>
  </si>
  <si>
    <t>Rs.crores</t>
  </si>
  <si>
    <t>(D)</t>
  </si>
  <si>
    <t>Sales realisation</t>
  </si>
  <si>
    <t>Paise / kwh</t>
  </si>
  <si>
    <t>SALES REVENUE FIXED AND ENERGY CHARGE PAISE/UNIT AND UNITS SOLD PER CONSUMER</t>
  </si>
  <si>
    <t>Page : 7</t>
  </si>
  <si>
    <t>(E)</t>
  </si>
  <si>
    <t>Sales realisation - fixed charge ( Demand charge )</t>
  </si>
  <si>
    <t>(F)</t>
  </si>
  <si>
    <t>Sales realisation - energy charge</t>
  </si>
  <si>
    <t>(G)</t>
  </si>
  <si>
    <t>Units sold per consumer</t>
  </si>
  <si>
    <t>kwh</t>
  </si>
  <si>
    <t>Other (P.ltg+W.W)</t>
  </si>
  <si>
    <t>RGP</t>
  </si>
  <si>
    <t>I  -  KEY PARAMETERS</t>
  </si>
  <si>
    <t>POWER SUPPLY POSITION - 1</t>
  </si>
  <si>
    <t>Page : 1</t>
  </si>
  <si>
    <t>Sr No</t>
  </si>
  <si>
    <t>I</t>
  </si>
  <si>
    <t>Power Purchase</t>
  </si>
  <si>
    <t>Purchase from IPPs/CPPs/Solar</t>
  </si>
  <si>
    <t>MUs</t>
  </si>
  <si>
    <t>Purchase from Central sector  (a) Share</t>
  </si>
  <si>
    <t>(b) Actual purchase</t>
  </si>
  <si>
    <t>Total purchase of power (net)</t>
  </si>
  <si>
    <t>II</t>
  </si>
  <si>
    <t>Energy Balance sheet:</t>
  </si>
  <si>
    <t>Total generation + purchase of power</t>
  </si>
  <si>
    <t>Units sent out</t>
  </si>
  <si>
    <t>Metered + Estimated unmetered sales</t>
  </si>
  <si>
    <t>T &amp; D loss(2-3)*</t>
  </si>
  <si>
    <t>T &amp; D loss (4)/(2)*100</t>
  </si>
  <si>
    <t>%</t>
  </si>
  <si>
    <t>III</t>
  </si>
  <si>
    <t>Sales,billing &amp; realisation:</t>
  </si>
  <si>
    <t>Billed - metered + unmetered</t>
  </si>
  <si>
    <r>
      <rPr>
        <b/>
        <sz val="12"/>
        <rFont val="Rupee Foradian"/>
        <family val="2"/>
      </rPr>
      <t xml:space="preserve">` </t>
    </r>
    <r>
      <rPr>
        <b/>
        <sz val="12"/>
        <rFont val="Tahoma"/>
        <family val="2"/>
      </rPr>
      <t>crores</t>
    </r>
  </si>
  <si>
    <t>Billed - theft assessment</t>
  </si>
  <si>
    <t>Total Billed (1+2)</t>
  </si>
  <si>
    <t>Amount realised - billed metered +unmetered</t>
  </si>
  <si>
    <t>Amount realised against theft of energy</t>
  </si>
  <si>
    <t>Total Amount realised (4+5) *</t>
  </si>
  <si>
    <t>Amount realised as % of amount billed (6)/(3)</t>
  </si>
  <si>
    <t>COST OF SUPPLY - 2</t>
  </si>
  <si>
    <t>Page : 2</t>
  </si>
  <si>
    <t>Cost of supply</t>
  </si>
  <si>
    <t>Average cost of purchase of power</t>
  </si>
  <si>
    <t>` per unit</t>
  </si>
  <si>
    <t>Cost at bus bar</t>
  </si>
  <si>
    <t>Cost of supply at EHT (at 66 KV)</t>
  </si>
  <si>
    <t>Cost of supply at HT (at 11 KV)</t>
  </si>
  <si>
    <t>Cost of supply at LT (at 400 / 230 V)</t>
  </si>
  <si>
    <t>Average Cost of supply</t>
  </si>
  <si>
    <t xml:space="preserve">LT </t>
  </si>
  <si>
    <t>Average Sales realisation</t>
  </si>
  <si>
    <t>FINANCIAL DATA - 3</t>
  </si>
  <si>
    <t>Page : 3</t>
  </si>
  <si>
    <t>Employees Cost</t>
  </si>
  <si>
    <t xml:space="preserve">Interest </t>
  </si>
  <si>
    <t>Repairs &amp; Maintenance</t>
  </si>
  <si>
    <t>Depreciation</t>
  </si>
  <si>
    <t>Admin and General expenses</t>
  </si>
  <si>
    <t>6.a</t>
  </si>
  <si>
    <t>Bad debts</t>
  </si>
  <si>
    <t>Exp. Capitalised less other debits</t>
  </si>
  <si>
    <t>Total cost excluding Profit/Return</t>
  </si>
  <si>
    <t>Capital expenditure</t>
  </si>
  <si>
    <t xml:space="preserve">New long term borrowings </t>
  </si>
  <si>
    <t>Non Tariff Income</t>
  </si>
  <si>
    <t>Bank overdraft as at the end of the quarter</t>
  </si>
  <si>
    <t>Sales amount</t>
  </si>
  <si>
    <t>Agricultural Subsidy received/receivable</t>
  </si>
  <si>
    <t>Cost of power purchase as % of total cost (1) / (8)</t>
  </si>
  <si>
    <t>IV  -  FINANCIAL DATA</t>
  </si>
  <si>
    <t>Ac/s.Head</t>
  </si>
  <si>
    <t>A</t>
  </si>
  <si>
    <t>Revenue</t>
  </si>
  <si>
    <t>62+63</t>
  </si>
  <si>
    <t>Total Revenue</t>
  </si>
  <si>
    <t>B</t>
  </si>
  <si>
    <t>EXPENSES :</t>
  </si>
  <si>
    <t>Operating Expenses</t>
  </si>
  <si>
    <t>Power Purchase Costs**</t>
  </si>
  <si>
    <t xml:space="preserve">   -Fixed </t>
  </si>
  <si>
    <t xml:space="preserve">   -Variable +</t>
  </si>
  <si>
    <t>Fuel Expense</t>
  </si>
  <si>
    <t>-</t>
  </si>
  <si>
    <t>Employee Cost</t>
  </si>
  <si>
    <t>Repairs and Maintenance</t>
  </si>
  <si>
    <t>Administrative and General Expense</t>
  </si>
  <si>
    <t>Other Operating Costs</t>
  </si>
  <si>
    <t>Other Expenses(Expenditure Capitalised - Other debits - Net prior period Exp - Extra ordinary exp)</t>
  </si>
  <si>
    <t>15+79+74110+(83-65)</t>
  </si>
  <si>
    <t>Taxes, if any</t>
  </si>
  <si>
    <t>Total expenses</t>
  </si>
  <si>
    <t>C</t>
  </si>
  <si>
    <t>Surplus (deficit) excluding rate of return</t>
  </si>
  <si>
    <t>D</t>
  </si>
  <si>
    <t>Calculation of return</t>
  </si>
  <si>
    <t>GLP</t>
  </si>
  <si>
    <t>LTMD &amp; NRGP</t>
  </si>
  <si>
    <t>Sale of Electricity*</t>
  </si>
  <si>
    <r>
      <rPr>
        <sz val="12"/>
        <rFont val="Rupee Foradian"/>
        <family val="2"/>
      </rPr>
      <t xml:space="preserve">` </t>
    </r>
    <r>
      <rPr>
        <sz val="12"/>
        <rFont val="Tahoma"/>
        <family val="2"/>
      </rPr>
      <t>crores</t>
    </r>
  </si>
  <si>
    <t>Mus</t>
  </si>
  <si>
    <t>Page : 4</t>
  </si>
  <si>
    <t>Purchase from GUVNL (net)</t>
  </si>
  <si>
    <t xml:space="preserve">Cost of Power purchase </t>
  </si>
  <si>
    <t xml:space="preserve">% change </t>
  </si>
  <si>
    <t>OCI</t>
  </si>
  <si>
    <t>(Rs. in Crores)</t>
  </si>
  <si>
    <t xml:space="preserve">Cumulative Up to 1st quarter </t>
  </si>
  <si>
    <t>Cumulative Up to 1st quarter</t>
  </si>
  <si>
    <t>1st Quarter</t>
  </si>
  <si>
    <t>Cumulative up to 1st Qtr</t>
  </si>
  <si>
    <t>Budget</t>
  </si>
  <si>
    <t>1st Qtr</t>
  </si>
  <si>
    <t>F.Y.2016-17</t>
  </si>
  <si>
    <t>F.Y.2018-19</t>
  </si>
  <si>
    <t>Total Revenue-Q1</t>
  </si>
  <si>
    <t>Q1</t>
  </si>
  <si>
    <t>Sold MUS Units</t>
  </si>
  <si>
    <t>Total Assessment</t>
  </si>
  <si>
    <t>CGL</t>
  </si>
  <si>
    <t>ED Net (CGL ALL MONTH)</t>
  </si>
  <si>
    <t>Power Purchase-GUVNL</t>
  </si>
  <si>
    <t>May-16 To July-16</t>
  </si>
  <si>
    <t>Ag Assessed</t>
  </si>
  <si>
    <t>MIS</t>
  </si>
  <si>
    <t>May</t>
  </si>
  <si>
    <t>LT</t>
  </si>
  <si>
    <t>MUS</t>
  </si>
  <si>
    <t>RATE</t>
  </si>
  <si>
    <t>Amt</t>
  </si>
  <si>
    <t>Less</t>
  </si>
  <si>
    <t>Ad.Credit</t>
  </si>
  <si>
    <t>Set.Off</t>
  </si>
  <si>
    <t>Less:</t>
  </si>
  <si>
    <t>Adj</t>
  </si>
  <si>
    <t xml:space="preserve">Less </t>
  </si>
  <si>
    <t>ED Net</t>
  </si>
  <si>
    <t>(1896/4)</t>
  </si>
  <si>
    <r>
      <t>(Toal ED May-16 To July-16</t>
    </r>
    <r>
      <rPr>
        <b/>
        <sz val="10"/>
        <rFont val="Arial"/>
        <family val="2"/>
      </rPr>
      <t xml:space="preserve"> 361.20</t>
    </r>
    <r>
      <rPr>
        <sz val="10"/>
        <rFont val="Arial"/>
        <family val="2"/>
      </rPr>
      <t>)</t>
    </r>
  </si>
  <si>
    <t>Jun</t>
  </si>
  <si>
    <t>Misc. charges from cons. (619)</t>
  </si>
  <si>
    <t>AG Subsidy (HP Based)</t>
  </si>
  <si>
    <t>Jul</t>
  </si>
  <si>
    <t>Other income -10% Written Back</t>
  </si>
  <si>
    <t>Other income -5.24%(128/4) Written Back</t>
  </si>
  <si>
    <t>Other income -Misc. receipts &amp; others (62group)</t>
  </si>
  <si>
    <t>Total</t>
  </si>
  <si>
    <t>Total Revenue-Q2</t>
  </si>
  <si>
    <t>Q2</t>
  </si>
  <si>
    <t>Aug-18 To Oct-18</t>
  </si>
  <si>
    <t>Aug</t>
  </si>
  <si>
    <t>ED Net as per CGL</t>
  </si>
  <si>
    <t>Sep</t>
  </si>
  <si>
    <t>ESIL assessment of CSS &amp; ASC not recognize</t>
  </si>
  <si>
    <t>Oct</t>
  </si>
  <si>
    <t>Other income -5.28%(136/4) Written Back</t>
  </si>
  <si>
    <t>Total Revenue-Q3</t>
  </si>
  <si>
    <t>Q3</t>
  </si>
  <si>
    <t>Nov-18 To Jan-19</t>
  </si>
  <si>
    <t>Nov</t>
  </si>
  <si>
    <t>Dec</t>
  </si>
  <si>
    <t>Jan</t>
  </si>
  <si>
    <t>Essar</t>
  </si>
  <si>
    <t>May-20 To Jul-20</t>
  </si>
  <si>
    <t>Income Statement &amp; OFR</t>
  </si>
  <si>
    <t>Format - 21  (Submission : Quarterly)</t>
  </si>
  <si>
    <t>Submission: Quarterly ( by T+45 days)</t>
  </si>
  <si>
    <t>Name of the Utility: Dakshin Gujarat Vij Co. Ltd.</t>
  </si>
  <si>
    <t>Income Statement</t>
  </si>
  <si>
    <t>Particulars</t>
  </si>
  <si>
    <t>Q-1</t>
  </si>
  <si>
    <t>Q-2</t>
  </si>
  <si>
    <t>Q-3</t>
  </si>
  <si>
    <t>Q-4</t>
  </si>
  <si>
    <t>TOTAL</t>
  </si>
  <si>
    <t>Actuals</t>
  </si>
  <si>
    <t>BUDGET</t>
  </si>
  <si>
    <t>UP to 3rd qtr</t>
  </si>
  <si>
    <t>4qtr</t>
  </si>
  <si>
    <t>INCOME</t>
  </si>
  <si>
    <t xml:space="preserve">Budget </t>
  </si>
  <si>
    <t>Actual</t>
  </si>
  <si>
    <t>Actual 10%</t>
  </si>
  <si>
    <t>Revenue from Sale of Power</t>
  </si>
  <si>
    <t xml:space="preserve">Other income </t>
  </si>
  <si>
    <t>Total Income (A)</t>
  </si>
  <si>
    <t>COSTS</t>
  </si>
  <si>
    <t>Power purchase costs</t>
  </si>
  <si>
    <t>Total Costs (B)</t>
  </si>
  <si>
    <t>Profit/ Loss (A-B)</t>
  </si>
  <si>
    <t>tax &amp; other</t>
  </si>
  <si>
    <t xml:space="preserve">Cash Profit/ Loss </t>
  </si>
  <si>
    <t>FY-2020-21</t>
  </si>
  <si>
    <t>F.Y.2020-21</t>
  </si>
  <si>
    <t>2020-21</t>
  </si>
  <si>
    <t>Name of Distribution Licensee:  DGVCL</t>
  </si>
  <si>
    <t>03-sop-14</t>
  </si>
  <si>
    <t>Year :2020-21</t>
  </si>
  <si>
    <t>Performa SoP 014: Statement Showing the ATC losses, collection efficiency and Billing Efficiency</t>
  </si>
  <si>
    <t xml:space="preserve">                                                                                                                                                                                   </t>
  </si>
  <si>
    <t>Months</t>
  </si>
  <si>
    <t>Units input                  ( Mus.)</t>
  </si>
  <si>
    <t>AG ASSES</t>
  </si>
  <si>
    <t>Units as per C.G.L (MUs)</t>
  </si>
  <si>
    <t>Less unit Set-off given</t>
  </si>
  <si>
    <t>Net -Units Billed</t>
  </si>
  <si>
    <t>Billing Efficiency</t>
  </si>
  <si>
    <t>Revenue Billed (Rs. Cr)</t>
  </si>
  <si>
    <t>Revenue Collected (Rs. Cr)</t>
  </si>
  <si>
    <t xml:space="preserve"> Collection Efficiency %</t>
  </si>
  <si>
    <t>Business Efficiency</t>
  </si>
  <si>
    <t>ATC Loss%</t>
  </si>
  <si>
    <t>C = (B/A)*100</t>
  </si>
  <si>
    <t xml:space="preserve">E </t>
  </si>
  <si>
    <t>F = (E/D)*100</t>
  </si>
  <si>
    <t>G = (C*F)/100</t>
  </si>
  <si>
    <t>H = 100 - G</t>
  </si>
  <si>
    <t>IV</t>
  </si>
  <si>
    <t>1) Details as per energy input in DGVCL peripheri &amp; Energy Consumed in DGVCL , which includes CPP/Open Acess/Wind Firm excess units and revenue as per CGL.  2) Due to Covid pandemic actual meter reading was not carried out for the period 25th march to 17th May &amp; during that period average ( Provisional) bills were issued to the consumer by taking their average cosumption of  past three months before lockdown  3) State government vide their various notifications   given various reliefs to the consumers during the pandemic such as 100 units energy bill waiver to residential consumers, fixed charge waiver to LT/HT consumers, also installment in respect of fixed charge to HT Consumers.</t>
  </si>
  <si>
    <t>=========================================================================================================================================</t>
  </si>
  <si>
    <t>GRAND TOTAL</t>
  </si>
  <si>
    <t>TOT(TEMP+NON)</t>
  </si>
  <si>
    <t>TOT(PDC+UN)</t>
  </si>
  <si>
    <t>TOT(NORMAL)</t>
  </si>
  <si>
    <t>UNPOSTED</t>
  </si>
  <si>
    <t>NON-CONS</t>
  </si>
  <si>
    <t>UNCONNECTED</t>
  </si>
  <si>
    <t>PDC</t>
  </si>
  <si>
    <t>Solar</t>
  </si>
  <si>
    <t>LED</t>
  </si>
  <si>
    <t>Temporary</t>
  </si>
  <si>
    <t>Street Light</t>
  </si>
  <si>
    <t>Agricultural</t>
  </si>
  <si>
    <t>Water Works</t>
  </si>
  <si>
    <t>Manufacturing &amp; Service Industries</t>
  </si>
  <si>
    <t>General Lighting Purpose</t>
  </si>
  <si>
    <t>Residential</t>
  </si>
  <si>
    <t>CREDIT</t>
  </si>
  <si>
    <t>ANGAN/AMNST</t>
  </si>
  <si>
    <t>ELE-DUTY</t>
  </si>
  <si>
    <t>BOARD-CHG</t>
  </si>
  <si>
    <t>BILLING</t>
  </si>
  <si>
    <t>OTHER-OFFICE</t>
  </si>
  <si>
    <t>ADJ.</t>
  </si>
  <si>
    <t>( BC )</t>
  </si>
  <si>
    <t>RCPT-CLEARED</t>
  </si>
  <si>
    <t>SOLAR</t>
  </si>
  <si>
    <t>-----&gt;</t>
  </si>
  <si>
    <t>RELIEF</t>
  </si>
  <si>
    <t>&lt;-----</t>
  </si>
  <si>
    <t>PROVISIONAL</t>
  </si>
  <si>
    <t>PAY-FROM</t>
  </si>
  <si>
    <t>NON-CASH</t>
  </si>
  <si>
    <t>CREDIT ADJ.</t>
  </si>
  <si>
    <t>CATEGORY</t>
  </si>
  <si>
    <t>SR</t>
  </si>
  <si>
    <t>TOT(NOR+UNPOST)</t>
  </si>
  <si>
    <t>CL. BALANCE</t>
  </si>
  <si>
    <t>TANS-TO</t>
  </si>
  <si>
    <t>TANS-FROM</t>
  </si>
  <si>
    <t>CREDIT- ADJ</t>
  </si>
  <si>
    <t>COLLECTIONS</t>
  </si>
  <si>
    <t>ASSESSMENT</t>
  </si>
  <si>
    <t>OPEN. BAL</t>
  </si>
  <si>
    <t>UNITS BILLED</t>
  </si>
  <si>
    <t>CONSUMERS</t>
  </si>
  <si>
    <t>DEBIT-ADJ</t>
  </si>
  <si>
    <t>PRO-BILL</t>
  </si>
  <si>
    <t>ANNUAL-CHG</t>
  </si>
  <si>
    <t>FUEL-COST</t>
  </si>
  <si>
    <t>ENEG-CHRG</t>
  </si>
  <si>
    <t>FIXED-CHRG</t>
  </si>
  <si>
    <t>TOT(PCD+UC)</t>
  </si>
  <si>
    <t>Net B Charge</t>
  </si>
  <si>
    <t>F Charge</t>
  </si>
  <si>
    <t>Board Charges</t>
  </si>
  <si>
    <t>D. P. C.</t>
  </si>
  <si>
    <t>SUNDRY CHG.</t>
  </si>
  <si>
    <t>RENT</t>
  </si>
  <si>
    <t>TAX ON SALE</t>
  </si>
  <si>
    <t>ELE. DUTY</t>
  </si>
  <si>
    <t>MIN CHG DIS.</t>
  </si>
  <si>
    <t>B. CHG(THEFT)</t>
  </si>
  <si>
    <t>BOARD CHARGE</t>
  </si>
  <si>
    <t>DAKSHIN GUJARAT VIJ COMPANY LIMITED</t>
  </si>
  <si>
    <t>---------------------------------------------------------------------------------------------------------------------------------------------------------</t>
  </si>
  <si>
    <t>Grand Total</t>
  </si>
  <si>
    <t>WATER WORKS</t>
  </si>
  <si>
    <t>P.D.C</t>
  </si>
  <si>
    <t>DADRA NAGAR</t>
  </si>
  <si>
    <t>INTER-STATE</t>
  </si>
  <si>
    <t>OTHERS</t>
  </si>
  <si>
    <t>LICENSEES</t>
  </si>
  <si>
    <t>AGRICULTURE</t>
  </si>
  <si>
    <t>TRACTION RL</t>
  </si>
  <si>
    <t>HT INDUSTRY</t>
  </si>
  <si>
    <t>Incentive Amount</t>
  </si>
  <si>
    <t>DPC</t>
  </si>
  <si>
    <t>EARTHQUAKE REL</t>
  </si>
  <si>
    <t>ELE.DUTY.</t>
  </si>
  <si>
    <t>BOARD-CHARGE</t>
  </si>
  <si>
    <t>Category</t>
  </si>
  <si>
    <t>SR.</t>
  </si>
  <si>
    <t>CREDIT ADJUSTMENT (HT)</t>
  </si>
  <si>
    <t>Other Office</t>
  </si>
  <si>
    <t>Assessment</t>
  </si>
  <si>
    <t>OP.Balance</t>
  </si>
  <si>
    <t>Cl.Balance</t>
  </si>
  <si>
    <t>Tran-From</t>
  </si>
  <si>
    <t>Payment from</t>
  </si>
  <si>
    <t>Non-Cash-Adj</t>
  </si>
  <si>
    <t>Credit-Adj</t>
  </si>
  <si>
    <t>Collection</t>
  </si>
  <si>
    <t>Units Billed</t>
  </si>
  <si>
    <t>Consumers</t>
  </si>
  <si>
    <t>Sr.</t>
  </si>
  <si>
    <t>Night Rebate</t>
  </si>
  <si>
    <t>Ehv-Rebate</t>
  </si>
  <si>
    <t>PF-Rebate</t>
  </si>
  <si>
    <t>Debit-Adj</t>
  </si>
  <si>
    <t>PF-Charges</t>
  </si>
  <si>
    <t>Annual./SFM Charges.</t>
  </si>
  <si>
    <t>Fuel-Surcharge</t>
  </si>
  <si>
    <t>Time-Charges.</t>
  </si>
  <si>
    <t>Energy-Charges.</t>
  </si>
  <si>
    <t>Demand Charges</t>
  </si>
  <si>
    <t>BREAK-UP OF BOARD CHARGES</t>
  </si>
  <si>
    <t>Net Assessment</t>
  </si>
  <si>
    <t>Sundry Adj.charges.</t>
  </si>
  <si>
    <t>DPC Adj.</t>
  </si>
  <si>
    <t>Met.Rent Adj</t>
  </si>
  <si>
    <t>TOS Adj.</t>
  </si>
  <si>
    <t>Ele.Duty Adj.</t>
  </si>
  <si>
    <t>Brd Charges(Theft)</t>
  </si>
  <si>
    <t>Units Adj.</t>
  </si>
  <si>
    <t>Board - Charges</t>
  </si>
  <si>
    <t>Sundry Charges.</t>
  </si>
  <si>
    <t>D.P.C.</t>
  </si>
  <si>
    <t>Meter Rent</t>
  </si>
  <si>
    <t>TOS</t>
  </si>
  <si>
    <t>Ele.duty</t>
  </si>
  <si>
    <t>Mn.charges.Ds</t>
  </si>
  <si>
    <t>No of Consumers</t>
  </si>
  <si>
    <t>CGL-LT</t>
  </si>
  <si>
    <t>CGL-HT</t>
  </si>
  <si>
    <t>Unit Billed</t>
  </si>
  <si>
    <r>
      <t>COM: </t>
    </r>
    <r>
      <rPr>
        <sz val="10"/>
        <rFont val="Courier New"/>
        <family val="3"/>
      </rPr>
      <t>1 DGVCL</t>
    </r>
  </si>
  <si>
    <r>
      <t>CIR: </t>
    </r>
    <r>
      <rPr>
        <sz val="10"/>
        <rFont val="Courier New"/>
        <family val="3"/>
      </rPr>
      <t>All</t>
    </r>
  </si>
  <si>
    <r>
      <t>DIV: </t>
    </r>
    <r>
      <rPr>
        <sz val="10"/>
        <rFont val="Courier New"/>
        <family val="3"/>
      </rPr>
      <t>All</t>
    </r>
  </si>
  <si>
    <t>Credit Adj</t>
  </si>
  <si>
    <t>Past Payment</t>
  </si>
  <si>
    <t>Other (W.W)</t>
  </si>
  <si>
    <t>FY2021-22</t>
  </si>
  <si>
    <t>Employee Exps</t>
  </si>
  <si>
    <t>Financial Cost</t>
  </si>
  <si>
    <t>Administrative Cost</t>
  </si>
  <si>
    <t>Less : Exps Capitalized</t>
  </si>
  <si>
    <t>FY-2021-22</t>
  </si>
  <si>
    <t>Government Subsidy /other consumer income</t>
  </si>
  <si>
    <t>Other consumer related income</t>
  </si>
  <si>
    <t>Current Year 22-23</t>
  </si>
  <si>
    <t>1st  Quarter Apr'22 to Jun'22</t>
  </si>
  <si>
    <t>1st  Quarter  Apr'21 to Jun'21</t>
  </si>
  <si>
    <t>LT ASSESSMENT REPORT FROM : May-2022 TO Jul-2022</t>
  </si>
  <si>
    <t>LAST MONTH END DATE : 31-07-2022</t>
  </si>
  <si>
    <t>PERIOD: May-2022 TO Jul-2022</t>
  </si>
  <si>
    <t>PROCESSED ON: 12-Dec-2022</t>
  </si>
  <si>
    <t>COM: 1 DGVCL</t>
  </si>
  <si>
    <t>CIR: All</t>
  </si>
  <si>
    <t>DIV: All</t>
  </si>
  <si>
    <t>SUB: All</t>
  </si>
  <si>
    <t xml:space="preserve"> </t>
  </si>
  <si>
    <t>BREAK-UP OF BOARD CHARGES FROM May-2022 TO Jul-2022</t>
  </si>
  <si>
    <t>LT C. G. L. FROM May-2022 TO Jul-2022</t>
  </si>
  <si>
    <t>CREDIT ADJUSTMENT ( LT ) FOR : May-2022 TO Jul-2022</t>
  </si>
  <si>
    <t>TDS</t>
  </si>
  <si>
    <t>ADJ</t>
  </si>
  <si>
    <r>
      <t>HT CGL REPORT FROM </t>
    </r>
    <r>
      <rPr>
        <sz val="10"/>
        <rFont val="Courier New"/>
        <family val="3"/>
      </rPr>
      <t>MAY-2022</t>
    </r>
    <r>
      <rPr>
        <b/>
        <sz val="10"/>
        <rFont val="Courier New"/>
        <family val="3"/>
      </rPr>
      <t> TO </t>
    </r>
    <r>
      <rPr>
        <sz val="10"/>
        <rFont val="Courier New"/>
        <family val="3"/>
      </rPr>
      <t>JUL-2022</t>
    </r>
  </si>
  <si>
    <r>
      <t>LAST MONTH END DATE : </t>
    </r>
    <r>
      <rPr>
        <sz val="10"/>
        <rFont val="Courier New"/>
        <family val="3"/>
      </rPr>
      <t>31-07-2022</t>
    </r>
  </si>
  <si>
    <r>
      <t>PERIOD: </t>
    </r>
    <r>
      <rPr>
        <sz val="10"/>
        <rFont val="Courier New"/>
        <family val="3"/>
      </rPr>
      <t>JUL-2022</t>
    </r>
  </si>
  <si>
    <r>
      <t>PROCESSED ON: </t>
    </r>
    <r>
      <rPr>
        <sz val="10"/>
        <rFont val="Courier New"/>
        <family val="3"/>
      </rPr>
      <t>12-DEC-2021</t>
    </r>
  </si>
  <si>
    <r>
      <t>HT ASSESSMENT REPORT FROM </t>
    </r>
    <r>
      <rPr>
        <sz val="10"/>
        <rFont val="Courier New"/>
        <family val="3"/>
      </rPr>
      <t>MAY-2022</t>
    </r>
    <r>
      <rPr>
        <b/>
        <sz val="10"/>
        <rFont val="Courier New"/>
        <family val="3"/>
      </rPr>
      <t> TO </t>
    </r>
    <r>
      <rPr>
        <sz val="10"/>
        <rFont val="Courier New"/>
        <family val="3"/>
      </rPr>
      <t>JUL-2022</t>
    </r>
  </si>
  <si>
    <r>
      <t>PROCESSED ON: </t>
    </r>
    <r>
      <rPr>
        <sz val="10"/>
        <rFont val="Courier New"/>
        <family val="3"/>
      </rPr>
      <t>12-DEC-22</t>
    </r>
  </si>
  <si>
    <t>Cumulative Upto 1st quarter</t>
  </si>
  <si>
    <t>NA</t>
  </si>
  <si>
    <t>Previous  Year 21-22*</t>
  </si>
  <si>
    <t>Total (11 to 15)</t>
  </si>
  <si>
    <t xml:space="preserve">* Previous Quarter amount restated/regrouped </t>
  </si>
  <si>
    <t>Name of Distribution Licensee:</t>
  </si>
  <si>
    <t>DGVCL</t>
  </si>
  <si>
    <t>Quarter : I</t>
  </si>
  <si>
    <t>Year :2022-23</t>
  </si>
  <si>
    <t>REGULATORY INFORMATION QUARTERLY REPORT</t>
  </si>
  <si>
    <t>V - DISTRIBUTION - KEY DATA</t>
  </si>
  <si>
    <t>Action plan for reducing T &amp; D losses in Urban feeders</t>
  </si>
  <si>
    <t xml:space="preserve">Zonewise/Circlewise no.of feeders having losses more than 25 % (I Quarter 22-23) </t>
  </si>
  <si>
    <r>
      <t xml:space="preserve">Total No.of </t>
    </r>
    <r>
      <rPr>
        <sz val="11"/>
        <rFont val="Arial"/>
        <family val="2"/>
      </rPr>
      <t>feeders</t>
    </r>
  </si>
  <si>
    <t>% loss during current period  ( I Quarter 22-23)</t>
  </si>
  <si>
    <t xml:space="preserve">% loss during previous period  (I Quarter 22-23) </t>
  </si>
  <si>
    <t xml:space="preserve">No. of feedres where losses increased in current period </t>
  </si>
  <si>
    <t>Reason thereof and action being taken</t>
  </si>
  <si>
    <t>VALSAD</t>
  </si>
  <si>
    <t>Reason:  It is on Decreasing trend but Intensive checking  will be intensified</t>
  </si>
  <si>
    <t xml:space="preserve">SURAT </t>
  </si>
  <si>
    <t>BHARUCH</t>
  </si>
  <si>
    <t>SURAT CITY</t>
  </si>
  <si>
    <t>Action plan for reducing T &amp; D losses in GIDC feeders</t>
  </si>
  <si>
    <t xml:space="preserve">Zonewise/Circlewise no.of feeders having losses more than 5 % ( I Quarter 22-23) </t>
  </si>
  <si>
    <t xml:space="preserve">Reason:  It is on Decreasing trend but Intensive checking  will be intensified.   </t>
  </si>
  <si>
    <t>Action plan for reducing T &amp; D losses in INDUSTRIAL  feeders</t>
  </si>
  <si>
    <t xml:space="preserve">Zonewise/Circlewise no.of feeders having losses more than 10 % ( I Quarter 22-23)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</si>
</sst>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43" formatCode="_(* #,##0.00_);_(* \(#,##0.00\);_(* &quot;-&quot;??_);_(@_)"/>
    <numFmt numFmtId="164" formatCode="_ * #,##0_ ;_ * \-#,##0_ ;_ * &quot;-&quot;_ ;_ @_ "/>
    <numFmt numFmtId="165" formatCode="_ * #,##0.00_ ;_ * \-#,##0.00_ ;_ * &quot;-&quot;??_ ;_ @_ "/>
    <numFmt numFmtId="166" formatCode="&quot;$&quot;#,##0_);\(&quot;$&quot;#,##0\)"/>
    <numFmt numFmtId="167" formatCode="0.000"/>
    <numFmt numFmtId="168" formatCode="#,##0;\-#,##0;&quot;-&quot;"/>
    <numFmt numFmtId="169" formatCode="#,##0.00;\-#,##0.00;&quot;-&quot;"/>
    <numFmt numFmtId="170" formatCode="#,##0%;\-#,##0%;&quot;- &quot;"/>
    <numFmt numFmtId="171" formatCode="#,##0.0%;\-#,##0.0%;&quot;- &quot;"/>
    <numFmt numFmtId="172" formatCode="#,##0.00%;\-#,##0.00%;&quot;- &quot;"/>
    <numFmt numFmtId="173" formatCode="#,##0.0;\-#,##0.0;&quot;-&quot;"/>
    <numFmt numFmtId="174" formatCode="&quot;$&quot;#,##0.00;[Red]\-&quot;$&quot;#,##0.00"/>
    <numFmt numFmtId="175" formatCode="_-* #,##0.00\ &quot;€&quot;_-;\-* #,##0.00\ &quot;€&quot;_-;_-* &quot;-&quot;??\ &quot;€&quot;_-;_-@_-"/>
    <numFmt numFmtId="176" formatCode="_-* #,##0\ _F_-;\-* #,##0\ _F_-;_-* &quot;-&quot;\ _F_-;_-@_-"/>
    <numFmt numFmtId="177" formatCode="_-* #,##0.00\ _F_-;\-* #,##0.00\ _F_-;_-* &quot;-&quot;??\ _F_-;_-@_-"/>
    <numFmt numFmtId="178" formatCode="[Red]0%;[Red]\(0%\)"/>
    <numFmt numFmtId="179" formatCode="0%;\(0%\)"/>
    <numFmt numFmtId="180" formatCode="\ \ @"/>
    <numFmt numFmtId="181" formatCode="\ \ \ \ @"/>
    <numFmt numFmtId="182" formatCode="_ &quot;Fr.&quot;\ * #,##0_ ;_ &quot;Fr.&quot;\ * \-#,##0_ ;_ &quot;Fr.&quot;\ * &quot;-&quot;_ ;_ @_ "/>
    <numFmt numFmtId="183" formatCode="_ &quot;Fr.&quot;\ * #,##0.00_ ;_ &quot;Fr.&quot;\ * \-#,##0.00_ ;_ &quot;Fr.&quot;\ * &quot;-&quot;??_ ;_ @_ "/>
    <numFmt numFmtId="184" formatCode="_-&quot;$&quot;* #,##0_-;\-&quot;$&quot;* #,##0_-;_-&quot;$&quot;* &quot;-&quot;_-;_-@_-"/>
    <numFmt numFmtId="185" formatCode="_-&quot;$&quot;* #,##0.00_-;\-&quot;$&quot;* #,##0.00_-;_-&quot;$&quot;* &quot;-&quot;??_-;_-@_-"/>
    <numFmt numFmtId="186" formatCode="&quot;\&quot;#,##0.00;[Red]&quot;\&quot;\-#,##0.00"/>
    <numFmt numFmtId="187" formatCode="&quot;\&quot;#,##0;[Red]&quot;\&quot;\-#,##0"/>
    <numFmt numFmtId="188" formatCode="[$-409]mmm\-yy;@"/>
    <numFmt numFmtId="189" formatCode="0.00_ ;[Red]\-0.00\ "/>
    <numFmt numFmtId="190" formatCode="0.00;[Red]0.00"/>
    <numFmt numFmtId="191" formatCode="0.0_);\(0.0\)"/>
    <numFmt numFmtId="192" formatCode="0.0000"/>
  </numFmts>
  <fonts count="12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b/>
      <sz val="12"/>
      <name val="Arial"/>
      <family val="2"/>
    </font>
    <font>
      <sz val="10"/>
      <name val="Arial"/>
      <family val="2"/>
    </font>
    <font>
      <sz val="10"/>
      <color indexed="12"/>
      <name val="Arial"/>
      <family val="2"/>
    </font>
    <font>
      <sz val="11"/>
      <color indexed="8"/>
      <name val="Calibri"/>
      <family val="2"/>
    </font>
    <font>
      <sz val="11"/>
      <color indexed="9"/>
      <name val="Calibri"/>
      <family val="2"/>
    </font>
    <font>
      <sz val="12"/>
      <name val="¹UAAA¼"/>
      <family val="3"/>
      <charset val="129"/>
    </font>
    <font>
      <sz val="7"/>
      <name val="Helv"/>
    </font>
    <font>
      <b/>
      <sz val="10"/>
      <name val="MS Sans Serif"/>
      <family val="2"/>
    </font>
    <font>
      <sz val="10"/>
      <color indexed="8"/>
      <name val="Arial"/>
      <family val="2"/>
    </font>
    <font>
      <b/>
      <sz val="11"/>
      <color indexed="8"/>
      <name val="Calibri"/>
      <family val="2"/>
    </font>
    <font>
      <b/>
      <sz val="8"/>
      <name val="Century Gothic"/>
      <family val="2"/>
    </font>
    <font>
      <sz val="8"/>
      <name val="Arial"/>
      <family val="2"/>
    </font>
    <font>
      <sz val="10"/>
      <color indexed="14"/>
      <name val="Arial"/>
      <family val="2"/>
    </font>
    <font>
      <sz val="10"/>
      <name val="Courier"/>
      <family val="3"/>
    </font>
    <font>
      <sz val="8"/>
      <name val="Arial Narrow"/>
      <family val="2"/>
    </font>
    <font>
      <sz val="10"/>
      <color indexed="10"/>
      <name val="Arial"/>
      <family val="2"/>
    </font>
    <font>
      <sz val="7"/>
      <color indexed="10"/>
      <name val="Helv"/>
    </font>
    <font>
      <b/>
      <sz val="18"/>
      <color indexed="62"/>
      <name val="Cambria"/>
      <family val="2"/>
    </font>
    <font>
      <sz val="14"/>
      <name val="뼻뮝"/>
      <family val="3"/>
      <charset val="129"/>
    </font>
    <font>
      <sz val="12"/>
      <name val="뼻뮝"/>
      <family val="1"/>
      <charset val="129"/>
    </font>
    <font>
      <sz val="12"/>
      <name val="바탕체"/>
      <family val="1"/>
      <charset val="129"/>
    </font>
    <font>
      <sz val="10"/>
      <name val="굴림체"/>
      <family val="3"/>
      <charset val="129"/>
    </font>
    <font>
      <b/>
      <sz val="18"/>
      <name val="Tahoma"/>
      <family val="2"/>
    </font>
    <font>
      <sz val="10"/>
      <name val="Tahoma"/>
      <family val="2"/>
    </font>
    <font>
      <b/>
      <sz val="12"/>
      <name val="Tahoma"/>
      <family val="2"/>
    </font>
    <font>
      <b/>
      <sz val="16"/>
      <name val="Tahoma"/>
      <family val="2"/>
    </font>
    <font>
      <b/>
      <sz val="10"/>
      <name val="Tahoma"/>
      <family val="2"/>
    </font>
    <font>
      <b/>
      <sz val="14"/>
      <name val="Tahoma"/>
      <family val="2"/>
    </font>
    <font>
      <b/>
      <u/>
      <sz val="14"/>
      <name val="Tahoma"/>
      <family val="2"/>
    </font>
    <font>
      <sz val="14"/>
      <name val="Tahoma"/>
      <family val="2"/>
    </font>
    <font>
      <sz val="12"/>
      <name val="Tahoma"/>
      <family val="2"/>
    </font>
    <font>
      <b/>
      <sz val="12"/>
      <name val="Rupee Foradian"/>
      <family val="2"/>
    </font>
    <font>
      <sz val="12"/>
      <name val="Rupee Foradian"/>
      <family val="2"/>
    </font>
    <font>
      <sz val="10"/>
      <name val="Arial"/>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Arial"/>
      <family val="2"/>
    </font>
    <font>
      <sz val="11"/>
      <color theme="1"/>
      <name val="Calibri"/>
      <family val="2"/>
      <scheme val="minor"/>
    </font>
    <font>
      <u/>
      <sz val="11"/>
      <color theme="10"/>
      <name val="Calibri"/>
      <family val="2"/>
    </font>
    <font>
      <b/>
      <sz val="12"/>
      <color theme="1"/>
      <name val="Tahoma"/>
      <family val="2"/>
    </font>
    <font>
      <sz val="12"/>
      <color theme="1"/>
      <name val="Tahoma"/>
      <family val="2"/>
    </font>
    <font>
      <sz val="10"/>
      <color theme="1"/>
      <name val="Tahoma"/>
      <family val="2"/>
    </font>
    <font>
      <b/>
      <sz val="18"/>
      <color theme="1"/>
      <name val="Tahoma"/>
      <family val="2"/>
    </font>
    <font>
      <b/>
      <sz val="10"/>
      <color theme="1"/>
      <name val="Tahoma"/>
      <family val="2"/>
    </font>
    <font>
      <b/>
      <sz val="14"/>
      <color theme="1"/>
      <name val="Tahoma"/>
      <family val="2"/>
    </font>
    <font>
      <b/>
      <u/>
      <sz val="14"/>
      <color theme="1"/>
      <name val="Tahoma"/>
      <family val="2"/>
    </font>
    <font>
      <sz val="14"/>
      <color theme="1"/>
      <name val="Tahoma"/>
      <family val="2"/>
    </font>
    <font>
      <sz val="10"/>
      <color theme="0"/>
      <name val="Tahoma"/>
      <family val="2"/>
    </font>
    <font>
      <sz val="18"/>
      <color theme="1"/>
      <name val="Tahoma"/>
      <family val="2"/>
    </font>
    <font>
      <sz val="16"/>
      <color theme="1"/>
      <name val="Tahoma"/>
      <family val="2"/>
    </font>
    <font>
      <sz val="14"/>
      <color rgb="FFFF0000"/>
      <name val="Tahoma"/>
      <family val="2"/>
    </font>
    <font>
      <sz val="10"/>
      <color rgb="FFFF0000"/>
      <name val="Tahoma"/>
      <family val="2"/>
    </font>
    <font>
      <b/>
      <sz val="11"/>
      <color theme="1"/>
      <name val="Calibri"/>
      <family val="2"/>
      <scheme val="minor"/>
    </font>
    <font>
      <b/>
      <sz val="10"/>
      <name val="Arial"/>
      <family val="2"/>
    </font>
    <font>
      <b/>
      <sz val="9"/>
      <color indexed="81"/>
      <name val="Tahoma"/>
      <family val="2"/>
    </font>
    <font>
      <sz val="9"/>
      <color indexed="81"/>
      <name val="Tahoma"/>
      <family val="2"/>
    </font>
    <font>
      <sz val="10"/>
      <color rgb="FFFF0000"/>
      <name val="Arial"/>
      <family val="2"/>
    </font>
    <font>
      <b/>
      <u/>
      <sz val="18"/>
      <color theme="1"/>
      <name val="Calibri"/>
      <family val="2"/>
      <scheme val="minor"/>
    </font>
    <font>
      <b/>
      <sz val="14"/>
      <color theme="1"/>
      <name val="Arial"/>
      <family val="2"/>
    </font>
    <font>
      <b/>
      <sz val="16"/>
      <color theme="1"/>
      <name val="Arial"/>
      <family val="2"/>
    </font>
    <font>
      <b/>
      <sz val="14"/>
      <color theme="1"/>
      <name val="Calibri"/>
      <family val="2"/>
      <scheme val="minor"/>
    </font>
    <font>
      <b/>
      <u/>
      <sz val="20"/>
      <color theme="1"/>
      <name val="Calibri"/>
      <family val="2"/>
      <scheme val="minor"/>
    </font>
    <font>
      <b/>
      <sz val="16"/>
      <color rgb="FF000000"/>
      <name val="Calibri"/>
      <family val="2"/>
    </font>
    <font>
      <b/>
      <sz val="14"/>
      <color rgb="FF000000"/>
      <name val="Calibri"/>
      <family val="2"/>
    </font>
    <font>
      <sz val="14"/>
      <color rgb="FF000000"/>
      <name val="Calibri"/>
      <family val="2"/>
    </font>
    <font>
      <sz val="15"/>
      <name val="Times New Roman"/>
      <family val="1"/>
    </font>
    <font>
      <b/>
      <sz val="12"/>
      <name val="Bookman Old Style"/>
      <family val="1"/>
    </font>
    <font>
      <b/>
      <sz val="8"/>
      <name val="Bookman Old Style"/>
      <family val="1"/>
    </font>
    <font>
      <b/>
      <sz val="11"/>
      <name val="Bookman Old Style"/>
      <family val="1"/>
    </font>
    <font>
      <b/>
      <sz val="11"/>
      <color theme="1"/>
      <name val="Bookman Old Style"/>
      <family val="1"/>
    </font>
    <font>
      <b/>
      <sz val="11"/>
      <color theme="1"/>
      <name val="Arial"/>
      <family val="2"/>
    </font>
    <font>
      <b/>
      <sz val="8"/>
      <color indexed="10"/>
      <name val="Arial"/>
      <family val="2"/>
    </font>
    <font>
      <sz val="8"/>
      <name val="Bookman Old Style"/>
      <family val="1"/>
    </font>
    <font>
      <sz val="11"/>
      <name val="Bookman Old Style"/>
      <family val="1"/>
    </font>
    <font>
      <sz val="11"/>
      <name val="Arial"/>
      <family val="2"/>
    </font>
    <font>
      <sz val="11"/>
      <color indexed="10"/>
      <name val="Arial"/>
      <family val="2"/>
    </font>
    <font>
      <sz val="12"/>
      <name val="Courier New"/>
      <family val="3"/>
    </font>
    <font>
      <b/>
      <sz val="10"/>
      <color indexed="10"/>
      <name val="Arial"/>
      <family val="2"/>
    </font>
    <font>
      <b/>
      <sz val="11"/>
      <color indexed="10"/>
      <name val="Arial"/>
      <family val="2"/>
    </font>
    <font>
      <b/>
      <sz val="10"/>
      <name val="Bookman Old Style"/>
      <family val="1"/>
    </font>
    <font>
      <b/>
      <sz val="9"/>
      <name val="Bookman Old Style"/>
      <family val="1"/>
    </font>
    <font>
      <b/>
      <sz val="10"/>
      <color indexed="12"/>
      <name val="Arial"/>
      <family val="2"/>
    </font>
    <font>
      <sz val="10"/>
      <color theme="1"/>
      <name val="Courier New"/>
      <family val="3"/>
    </font>
    <font>
      <sz val="10"/>
      <name val="Times New Roman"/>
      <family val="1"/>
    </font>
    <font>
      <b/>
      <sz val="10"/>
      <name val="Times New Roman"/>
      <family val="1"/>
    </font>
    <font>
      <sz val="10"/>
      <name val="Courier New"/>
      <family val="3"/>
    </font>
    <font>
      <b/>
      <sz val="10"/>
      <name val="Courier New"/>
      <family val="3"/>
    </font>
    <font>
      <b/>
      <sz val="12"/>
      <color theme="0"/>
      <name val="Tahoma"/>
      <family val="2"/>
    </font>
    <font>
      <sz val="8"/>
      <name val="COURIER"/>
    </font>
    <font>
      <b/>
      <sz val="8"/>
      <name val="COURIER"/>
    </font>
    <font>
      <b/>
      <sz val="10"/>
      <name val="COURIER"/>
    </font>
    <font>
      <b/>
      <i/>
      <sz val="7"/>
      <name val="Tahoma"/>
      <family val="2"/>
    </font>
    <font>
      <sz val="10"/>
      <name val="Arial"/>
      <family val="2"/>
    </font>
    <font>
      <b/>
      <sz val="14"/>
      <name val="Arial"/>
      <family val="2"/>
    </font>
    <font>
      <sz val="12"/>
      <name val="Arial"/>
      <family val="2"/>
    </font>
    <font>
      <sz val="17"/>
      <name val="Arial"/>
      <family val="2"/>
    </font>
    <font>
      <sz val="13"/>
      <name val="Arial"/>
      <family val="2"/>
    </font>
    <font>
      <sz val="11"/>
      <name val="Times New Roman"/>
      <family val="1"/>
    </font>
    <font>
      <sz val="12"/>
      <color rgb="FFFF0000"/>
      <name val="Tahoma"/>
      <family val="2"/>
    </font>
    <font>
      <b/>
      <sz val="13"/>
      <name val="Arial"/>
      <family val="2"/>
    </font>
    <font>
      <sz val="12"/>
      <name val="Times New Roman"/>
      <family val="1"/>
    </font>
    <font>
      <sz val="18"/>
      <name val="Tahoma"/>
      <family val="2"/>
    </font>
    <font>
      <sz val="14"/>
      <name val="Times New Roman"/>
      <family val="1"/>
    </font>
  </fonts>
  <fills count="4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31"/>
        <bgColor indexed="41"/>
      </patternFill>
    </fill>
    <fill>
      <patternFill patternType="solid">
        <fgColor indexed="44"/>
        <bgColor indexed="31"/>
      </patternFill>
    </fill>
    <fill>
      <patternFill patternType="solid">
        <fgColor indexed="10"/>
      </patternFill>
    </fill>
    <fill>
      <patternFill patternType="solid">
        <fgColor indexed="26"/>
        <bgColor indexed="9"/>
      </patternFill>
    </fill>
    <fill>
      <patternFill patternType="solid">
        <fgColor indexed="22"/>
        <bgColor indexed="24"/>
      </patternFill>
    </fill>
    <fill>
      <patternFill patternType="solid">
        <fgColor indexed="55"/>
        <bgColor indexed="23"/>
      </patternFill>
    </fill>
    <fill>
      <patternFill patternType="solid">
        <fgColor indexed="57"/>
      </patternFill>
    </fill>
    <fill>
      <patternFill patternType="solid">
        <fgColor indexed="42"/>
        <bgColor indexed="27"/>
      </patternFill>
    </fill>
    <fill>
      <patternFill patternType="solid">
        <fgColor indexed="27"/>
        <bgColor indexed="42"/>
      </patternFill>
    </fill>
    <fill>
      <patternFill patternType="solid">
        <fgColor indexed="53"/>
      </patternFill>
    </fill>
    <fill>
      <patternFill patternType="solid">
        <fgColor indexed="47"/>
        <bgColor indexed="41"/>
      </patternFill>
    </fill>
    <fill>
      <patternFill patternType="solid">
        <fgColor indexed="22"/>
      </patternFill>
    </fill>
    <fill>
      <patternFill patternType="solid">
        <fgColor indexed="55"/>
      </patternFill>
    </fill>
    <fill>
      <patternFill patternType="solid">
        <fgColor indexed="24"/>
        <bgColor indexed="22"/>
      </patternFill>
    </fill>
    <fill>
      <patternFill patternType="solid">
        <fgColor indexed="29"/>
        <bgColor indexed="45"/>
      </patternFill>
    </fill>
    <fill>
      <patternFill patternType="solid">
        <fgColor indexed="41"/>
        <bgColor indexed="31"/>
      </patternFill>
    </fill>
    <fill>
      <patternFill patternType="solid">
        <fgColor indexed="45"/>
        <bgColor indexed="64"/>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44"/>
        <bgColor indexed="64"/>
      </patternFill>
    </fill>
    <fill>
      <patternFill patternType="solid">
        <fgColor rgb="FFFFFFCC"/>
      </patternFill>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indexed="9"/>
        <bgColor indexed="64"/>
      </patternFill>
    </fill>
    <fill>
      <patternFill patternType="solid">
        <fgColor theme="3" tint="0.79998168889431442"/>
        <bgColor indexed="64"/>
      </patternFill>
    </fill>
  </fills>
  <borders count="82">
    <border>
      <left/>
      <right/>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style="thick">
        <color indexed="64"/>
      </top>
      <bottom style="thick">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style="thin">
        <color indexed="64"/>
      </right>
      <top/>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top/>
      <bottom style="medium">
        <color indexed="64"/>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bottom/>
      <diagonal/>
    </border>
    <border>
      <left style="thin">
        <color theme="3" tint="0.39997558519241921"/>
      </left>
      <right/>
      <top/>
      <bottom/>
      <diagonal/>
    </border>
    <border>
      <left/>
      <right style="medium">
        <color indexed="64"/>
      </right>
      <top style="thin">
        <color indexed="64"/>
      </top>
      <bottom/>
      <diagonal/>
    </border>
    <border>
      <left style="medium">
        <color indexed="64"/>
      </left>
      <right/>
      <top style="medium">
        <color indexed="64"/>
      </top>
      <bottom/>
      <diagonal/>
    </border>
  </borders>
  <cellStyleXfs count="209">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1" fillId="18" borderId="0" applyNumberFormat="0" applyBorder="0" applyAlignment="0" applyProtection="0"/>
    <xf numFmtId="0" fontId="11" fillId="16"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22" borderId="0" applyNumberFormat="0" applyBorder="0" applyAlignment="0" applyProtection="0"/>
    <xf numFmtId="0" fontId="11" fillId="19"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1" fillId="21" borderId="0" applyNumberFormat="0" applyBorder="0" applyAlignment="0" applyProtection="0"/>
    <xf numFmtId="0" fontId="11" fillId="23" borderId="0" applyNumberFormat="0" applyBorder="0" applyAlignment="0" applyProtection="0"/>
    <xf numFmtId="0" fontId="10" fillId="17" borderId="0" applyNumberFormat="0" applyBorder="0" applyAlignment="0" applyProtection="0"/>
    <xf numFmtId="0" fontId="10" fillId="21"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0" fillId="25" borderId="0" applyNumberFormat="0" applyBorder="0" applyAlignment="0" applyProtection="0"/>
    <xf numFmtId="0" fontId="10" fillId="17" borderId="0" applyNumberFormat="0" applyBorder="0" applyAlignment="0" applyProtection="0"/>
    <xf numFmtId="0" fontId="11" fillId="18" borderId="0" applyNumberFormat="0" applyBorder="0" applyAlignment="0" applyProtection="0"/>
    <xf numFmtId="0" fontId="11" fillId="14" borderId="0" applyNumberFormat="0" applyBorder="0" applyAlignment="0" applyProtection="0"/>
    <xf numFmtId="0" fontId="10" fillId="20" borderId="0" applyNumberFormat="0" applyBorder="0" applyAlignment="0" applyProtection="0"/>
    <xf numFmtId="0" fontId="10" fillId="27" borderId="0" applyNumberFormat="0" applyBorder="0" applyAlignment="0" applyProtection="0"/>
    <xf numFmtId="0" fontId="11" fillId="27" borderId="0" applyNumberFormat="0" applyBorder="0" applyAlignment="0" applyProtection="0"/>
    <xf numFmtId="0" fontId="11" fillId="26" borderId="0" applyNumberFormat="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41" fillId="3" borderId="0" applyNumberFormat="0" applyBorder="0" applyAlignment="0" applyProtection="0"/>
    <xf numFmtId="3" fontId="13" fillId="0" borderId="0"/>
    <xf numFmtId="166" fontId="14" fillId="0" borderId="1" applyAlignment="0" applyProtection="0"/>
    <xf numFmtId="0" fontId="12" fillId="0" borderId="0"/>
    <xf numFmtId="0" fontId="12" fillId="0" borderId="0"/>
    <xf numFmtId="168" fontId="15" fillId="0" borderId="0" applyFill="0" applyBorder="0" applyAlignment="0"/>
    <xf numFmtId="169" fontId="15" fillId="0" borderId="0" applyFill="0" applyBorder="0" applyAlignment="0"/>
    <xf numFmtId="170" fontId="15" fillId="0" borderId="0" applyFill="0" applyBorder="0" applyAlignment="0"/>
    <xf numFmtId="171" fontId="15" fillId="0" borderId="0" applyFill="0" applyBorder="0" applyAlignment="0"/>
    <xf numFmtId="172" fontId="15" fillId="0" borderId="0" applyFill="0" applyBorder="0" applyAlignment="0"/>
    <xf numFmtId="168" fontId="15" fillId="0" borderId="0" applyFill="0" applyBorder="0" applyAlignment="0"/>
    <xf numFmtId="173" fontId="15" fillId="0" borderId="0" applyFill="0" applyBorder="0" applyAlignment="0"/>
    <xf numFmtId="169" fontId="15" fillId="0" borderId="0" applyFill="0" applyBorder="0" applyAlignment="0"/>
    <xf numFmtId="0" fontId="42" fillId="28" borderId="2" applyNumberFormat="0" applyAlignment="0" applyProtection="0"/>
    <xf numFmtId="0" fontId="43" fillId="29" borderId="3" applyNumberFormat="0" applyAlignment="0" applyProtection="0"/>
    <xf numFmtId="16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5" fontId="10" fillId="0" borderId="0" applyFont="0" applyFill="0" applyBorder="0" applyAlignment="0" applyProtection="0"/>
    <xf numFmtId="43" fontId="6" fillId="0" borderId="0" applyFont="0" applyFill="0" applyBorder="0" applyAlignment="0" applyProtection="0"/>
    <xf numFmtId="165" fontId="56" fillId="0" borderId="0" applyFont="0" applyFill="0" applyBorder="0" applyAlignment="0" applyProtection="0"/>
    <xf numFmtId="3" fontId="8" fillId="0" borderId="0" applyFont="0" applyFill="0" applyBorder="0" applyAlignment="0" applyProtection="0"/>
    <xf numFmtId="169" fontId="8" fillId="0" borderId="0" applyFont="0" applyFill="0" applyBorder="0" applyAlignment="0" applyProtection="0"/>
    <xf numFmtId="174" fontId="8" fillId="0" borderId="0" applyFont="0" applyFill="0" applyBorder="0" applyAlignment="0" applyProtection="0"/>
    <xf numFmtId="0" fontId="8" fillId="0" borderId="0" applyFont="0" applyFill="0" applyBorder="0" applyAlignment="0" applyProtection="0"/>
    <xf numFmtId="14" fontId="15" fillId="0" borderId="0" applyFill="0" applyBorder="0" applyAlignment="0"/>
    <xf numFmtId="164" fontId="8" fillId="0" borderId="0" applyFont="0" applyFill="0" applyBorder="0" applyAlignment="0" applyProtection="0"/>
    <xf numFmtId="165" fontId="8" fillId="0" borderId="0" applyFont="0" applyFill="0" applyBorder="0" applyAlignment="0" applyProtection="0"/>
    <xf numFmtId="0" fontId="16" fillId="30" borderId="0" applyNumberFormat="0" applyBorder="0" applyAlignment="0" applyProtection="0"/>
    <xf numFmtId="0" fontId="16" fillId="31" borderId="0" applyNumberFormat="0" applyBorder="0" applyAlignment="0" applyProtection="0"/>
    <xf numFmtId="0" fontId="16" fillId="32" borderId="0" applyNumberFormat="0" applyBorder="0" applyAlignment="0" applyProtection="0"/>
    <xf numFmtId="168" fontId="9" fillId="0" borderId="0" applyFill="0" applyBorder="0" applyAlignment="0"/>
    <xf numFmtId="169" fontId="9" fillId="0" borderId="0" applyFill="0" applyBorder="0" applyAlignment="0"/>
    <xf numFmtId="168" fontId="9" fillId="0" borderId="0" applyFill="0" applyBorder="0" applyAlignment="0"/>
    <xf numFmtId="173" fontId="9" fillId="0" borderId="0" applyFill="0" applyBorder="0" applyAlignment="0"/>
    <xf numFmtId="169" fontId="9" fillId="0" borderId="0" applyFill="0" applyBorder="0" applyAlignment="0"/>
    <xf numFmtId="175" fontId="8" fillId="0" borderId="0" applyFont="0" applyFill="0" applyBorder="0" applyAlignment="0" applyProtection="0"/>
    <xf numFmtId="0" fontId="44" fillId="0" borderId="0" applyNumberFormat="0" applyFill="0" applyBorder="0" applyAlignment="0" applyProtection="0"/>
    <xf numFmtId="2" fontId="8" fillId="0" borderId="0" applyFont="0" applyFill="0" applyBorder="0" applyAlignment="0" applyProtection="0"/>
    <xf numFmtId="0" fontId="45" fillId="4" borderId="0" applyNumberFormat="0" applyBorder="0" applyAlignment="0" applyProtection="0"/>
    <xf numFmtId="0" fontId="17" fillId="33" borderId="4" applyNumberFormat="0" applyFont="0" applyAlignment="0">
      <alignment horizontal="left"/>
    </xf>
    <xf numFmtId="38" fontId="18" fillId="34" borderId="0" applyNumberFormat="0" applyBorder="0" applyAlignment="0" applyProtection="0"/>
    <xf numFmtId="0" fontId="7" fillId="0" borderId="5" applyNumberFormat="0" applyAlignment="0" applyProtection="0">
      <alignment horizontal="left" vertical="center"/>
    </xf>
    <xf numFmtId="0" fontId="7" fillId="0" borderId="6">
      <alignment horizontal="left" vertical="center"/>
    </xf>
    <xf numFmtId="0" fontId="46" fillId="0" borderId="7" applyNumberFormat="0" applyFill="0" applyAlignment="0" applyProtection="0"/>
    <xf numFmtId="0" fontId="47" fillId="0" borderId="8" applyNumberFormat="0" applyFill="0" applyAlignment="0" applyProtection="0"/>
    <xf numFmtId="0" fontId="48" fillId="0" borderId="9" applyNumberFormat="0" applyFill="0" applyAlignment="0" applyProtection="0"/>
    <xf numFmtId="0" fontId="48" fillId="0" borderId="0" applyNumberFormat="0" applyFill="0" applyBorder="0" applyAlignment="0" applyProtection="0"/>
    <xf numFmtId="0" fontId="57" fillId="0" borderId="0" applyNumberFormat="0" applyFill="0" applyBorder="0" applyAlignment="0" applyProtection="0">
      <alignment vertical="top"/>
      <protection locked="0"/>
    </xf>
    <xf numFmtId="10" fontId="18" fillId="35" borderId="10" applyNumberFormat="0" applyBorder="0" applyAlignment="0" applyProtection="0"/>
    <xf numFmtId="0" fontId="49" fillId="7" borderId="2" applyNumberFormat="0" applyAlignment="0" applyProtection="0"/>
    <xf numFmtId="168" fontId="19" fillId="0" borderId="0" applyFill="0" applyBorder="0" applyAlignment="0"/>
    <xf numFmtId="169" fontId="19" fillId="0" borderId="0" applyFill="0" applyBorder="0" applyAlignment="0"/>
    <xf numFmtId="168" fontId="19" fillId="0" borderId="0" applyFill="0" applyBorder="0" applyAlignment="0"/>
    <xf numFmtId="173" fontId="19" fillId="0" borderId="0" applyFill="0" applyBorder="0" applyAlignment="0"/>
    <xf numFmtId="169" fontId="19" fillId="0" borderId="0" applyFill="0" applyBorder="0" applyAlignment="0"/>
    <xf numFmtId="0" fontId="50" fillId="0" borderId="11" applyNumberFormat="0" applyFill="0" applyAlignment="0" applyProtection="0"/>
    <xf numFmtId="176" fontId="8" fillId="0" borderId="0" applyFont="0" applyFill="0" applyBorder="0" applyAlignment="0" applyProtection="0"/>
    <xf numFmtId="177" fontId="8" fillId="0" borderId="0" applyFont="0" applyFill="0" applyBorder="0" applyAlignment="0" applyProtection="0"/>
    <xf numFmtId="0" fontId="51" fillId="36" borderId="0" applyNumberFormat="0" applyBorder="0" applyAlignment="0" applyProtection="0"/>
    <xf numFmtId="0" fontId="20" fillId="0" borderId="0"/>
    <xf numFmtId="178" fontId="21" fillId="0" borderId="0"/>
    <xf numFmtId="0" fontId="56" fillId="0" borderId="0"/>
    <xf numFmtId="0" fontId="56" fillId="0" borderId="0"/>
    <xf numFmtId="0" fontId="56" fillId="0" borderId="0"/>
    <xf numFmtId="0" fontId="56" fillId="0" borderId="0"/>
    <xf numFmtId="0" fontId="56" fillId="0" borderId="0"/>
    <xf numFmtId="0" fontId="56" fillId="0" borderId="0"/>
    <xf numFmtId="0" fontId="6" fillId="0" borderId="0"/>
    <xf numFmtId="0" fontId="56" fillId="0" borderId="0"/>
    <xf numFmtId="0" fontId="6" fillId="0" borderId="0"/>
    <xf numFmtId="0" fontId="6" fillId="0" borderId="0"/>
    <xf numFmtId="0" fontId="56" fillId="0" borderId="0"/>
    <xf numFmtId="0" fontId="56" fillId="0" borderId="0"/>
    <xf numFmtId="0" fontId="56" fillId="0" borderId="0"/>
    <xf numFmtId="0" fontId="56" fillId="0" borderId="0"/>
    <xf numFmtId="0" fontId="56" fillId="0" borderId="0"/>
    <xf numFmtId="0" fontId="56" fillId="0" borderId="0"/>
    <xf numFmtId="0" fontId="6" fillId="0" borderId="0">
      <alignment vertical="top"/>
    </xf>
    <xf numFmtId="0" fontId="56" fillId="0" borderId="0"/>
    <xf numFmtId="0" fontId="56" fillId="0" borderId="0"/>
    <xf numFmtId="0" fontId="56" fillId="0" borderId="0"/>
    <xf numFmtId="0" fontId="40" fillId="0" borderId="0"/>
    <xf numFmtId="0" fontId="56" fillId="0" borderId="0"/>
    <xf numFmtId="0" fontId="56" fillId="0" borderId="0"/>
    <xf numFmtId="0" fontId="56" fillId="0" borderId="0"/>
    <xf numFmtId="0" fontId="6" fillId="0" borderId="0"/>
    <xf numFmtId="0" fontId="56" fillId="0" borderId="0"/>
    <xf numFmtId="0" fontId="56" fillId="38" borderId="72" applyNumberFormat="0" applyFont="0" applyAlignment="0" applyProtection="0"/>
    <xf numFmtId="0" fontId="52" fillId="28" borderId="12" applyNumberFormat="0" applyAlignment="0" applyProtection="0"/>
    <xf numFmtId="172" fontId="8" fillId="0" borderId="0" applyFont="0" applyFill="0" applyBorder="0" applyAlignment="0" applyProtection="0"/>
    <xf numFmtId="179" fontId="8" fillId="0" borderId="0" applyFont="0" applyFill="0" applyBorder="0" applyAlignment="0" applyProtection="0"/>
    <xf numFmtId="10" fontId="8" fillId="0" borderId="0" applyFont="0" applyFill="0" applyBorder="0" applyAlignment="0" applyProtection="0"/>
    <xf numFmtId="9" fontId="56"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56" fillId="0" borderId="0" applyFont="0" applyFill="0" applyBorder="0" applyAlignment="0" applyProtection="0"/>
    <xf numFmtId="9" fontId="56" fillId="0" borderId="0" applyFont="0" applyFill="0" applyBorder="0" applyAlignment="0" applyProtection="0"/>
    <xf numFmtId="9" fontId="6" fillId="0" borderId="0" applyFont="0" applyFill="0" applyBorder="0" applyAlignment="0" applyProtection="0"/>
    <xf numFmtId="9" fontId="55" fillId="0" borderId="0" applyFont="0" applyFill="0" applyBorder="0" applyAlignment="0" applyProtection="0"/>
    <xf numFmtId="168" fontId="22" fillId="0" borderId="0" applyFill="0" applyBorder="0" applyAlignment="0"/>
    <xf numFmtId="169" fontId="22" fillId="0" borderId="0" applyFill="0" applyBorder="0" applyAlignment="0"/>
    <xf numFmtId="168" fontId="22" fillId="0" borderId="0" applyFill="0" applyBorder="0" applyAlignment="0"/>
    <xf numFmtId="173" fontId="22" fillId="0" borderId="0" applyFill="0" applyBorder="0" applyAlignment="0"/>
    <xf numFmtId="169" fontId="22" fillId="0" borderId="0" applyFill="0" applyBorder="0" applyAlignment="0"/>
    <xf numFmtId="3" fontId="23" fillId="0" borderId="0"/>
    <xf numFmtId="0" fontId="24" fillId="0" borderId="0" applyNumberFormat="0" applyFill="0" applyBorder="0" applyAlignment="0" applyProtection="0"/>
    <xf numFmtId="0" fontId="15" fillId="0" borderId="0">
      <alignment vertical="top"/>
    </xf>
    <xf numFmtId="49" fontId="15" fillId="0" borderId="0" applyFill="0" applyBorder="0" applyAlignment="0"/>
    <xf numFmtId="180" fontId="15" fillId="0" borderId="0" applyFill="0" applyBorder="0" applyAlignment="0"/>
    <xf numFmtId="181" fontId="15" fillId="0" borderId="0" applyFill="0" applyBorder="0" applyAlignment="0"/>
    <xf numFmtId="0" fontId="53" fillId="0" borderId="0" applyNumberFormat="0" applyFill="0" applyBorder="0" applyAlignment="0" applyProtection="0"/>
    <xf numFmtId="0" fontId="16" fillId="0" borderId="13" applyNumberFormat="0" applyFill="0" applyAlignment="0" applyProtection="0"/>
    <xf numFmtId="0" fontId="17" fillId="37" borderId="14" applyFont="0" applyAlignment="0">
      <alignment horizontal="right" vertical="top" wrapText="1"/>
    </xf>
    <xf numFmtId="182" fontId="8" fillId="0" borderId="0" applyFont="0" applyFill="0" applyBorder="0" applyAlignment="0" applyProtection="0"/>
    <xf numFmtId="183" fontId="8" fillId="0" borderId="0" applyFont="0" applyFill="0" applyBorder="0" applyAlignment="0" applyProtection="0"/>
    <xf numFmtId="0" fontId="54" fillId="0" borderId="0" applyNumberFormat="0" applyFill="0" applyBorder="0" applyAlignment="0" applyProtection="0"/>
    <xf numFmtId="40" fontId="25" fillId="0" borderId="0" applyFont="0" applyFill="0" applyBorder="0" applyAlignment="0" applyProtection="0"/>
    <xf numFmtId="38"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10" fontId="8" fillId="0" borderId="0" applyFont="0" applyFill="0" applyBorder="0" applyAlignment="0" applyProtection="0"/>
    <xf numFmtId="0" fontId="26" fillId="0" borderId="0"/>
    <xf numFmtId="184" fontId="8" fillId="0" borderId="0" applyFont="0" applyFill="0" applyBorder="0" applyAlignment="0" applyProtection="0"/>
    <xf numFmtId="185" fontId="8" fillId="0" borderId="0" applyFont="0" applyFill="0" applyBorder="0" applyAlignment="0" applyProtection="0"/>
    <xf numFmtId="186" fontId="27" fillId="0" borderId="0" applyFont="0" applyFill="0" applyBorder="0" applyAlignment="0" applyProtection="0"/>
    <xf numFmtId="187" fontId="27" fillId="0" borderId="0" applyFont="0" applyFill="0" applyBorder="0" applyAlignment="0" applyProtection="0"/>
    <xf numFmtId="0" fontId="28" fillId="0" borderId="0"/>
    <xf numFmtId="165" fontId="55" fillId="0" borderId="0" applyFont="0" applyFill="0" applyBorder="0" applyAlignment="0" applyProtection="0"/>
    <xf numFmtId="165" fontId="6" fillId="0" borderId="0" applyFont="0" applyFill="0" applyBorder="0" applyAlignment="0" applyProtection="0"/>
    <xf numFmtId="188" fontId="4" fillId="0" borderId="0" applyFont="0" applyFill="0" applyBorder="0" applyAlignment="0" applyProtection="0"/>
    <xf numFmtId="0" fontId="6" fillId="0" borderId="0" applyFont="0" applyFill="0" applyBorder="0" applyAlignment="0" applyProtection="0"/>
    <xf numFmtId="189" fontId="6" fillId="0" borderId="0" applyFont="0" applyFill="0" applyBorder="0" applyAlignment="0" applyProtection="0"/>
    <xf numFmtId="188" fontId="6" fillId="0" borderId="0" applyFont="0" applyFill="0" applyBorder="0" applyAlignment="0" applyProtection="0"/>
    <xf numFmtId="190" fontId="4" fillId="0" borderId="0" applyFont="0" applyFill="0" applyBorder="0" applyAlignment="0" applyProtection="0"/>
    <xf numFmtId="190" fontId="4" fillId="0" borderId="0" applyFont="0" applyFill="0" applyBorder="0" applyAlignment="0" applyProtection="0"/>
    <xf numFmtId="165" fontId="6" fillId="0" borderId="0" applyFont="0" applyFill="0" applyBorder="0" applyAlignment="0" applyProtection="0"/>
    <xf numFmtId="191" fontId="6"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92" fontId="4" fillId="0" borderId="0" applyFont="0" applyFill="0" applyBorder="0" applyAlignment="0" applyProtection="0"/>
    <xf numFmtId="0" fontId="20"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applyNumberFormat="0"/>
    <xf numFmtId="0" fontId="6" fillId="0" borderId="0"/>
    <xf numFmtId="0" fontId="4" fillId="0" borderId="0"/>
    <xf numFmtId="0" fontId="6" fillId="0" borderId="0"/>
    <xf numFmtId="0" fontId="4" fillId="0" borderId="0"/>
    <xf numFmtId="0" fontId="6" fillId="0" borderId="0"/>
    <xf numFmtId="0" fontId="4" fillId="0" borderId="0"/>
    <xf numFmtId="0" fontId="6" fillId="0" borderId="0" applyNumberFormat="0" applyFont="0" applyFill="0" applyBorder="0" applyAlignment="0" applyProtection="0">
      <alignment vertical="top"/>
    </xf>
    <xf numFmtId="0" fontId="3" fillId="0" borderId="0"/>
    <xf numFmtId="9" fontId="111" fillId="0" borderId="0" applyFont="0" applyFill="0" applyBorder="0" applyAlignment="0" applyProtection="0"/>
    <xf numFmtId="0" fontId="6" fillId="0" borderId="0" applyNumberFormat="0" applyFont="0" applyFill="0" applyBorder="0" applyAlignment="0" applyProtection="0">
      <alignment vertical="top"/>
    </xf>
    <xf numFmtId="0" fontId="6" fillId="0" borderId="0" applyNumberFormat="0" applyFont="0" applyFill="0" applyBorder="0" applyAlignment="0" applyProtection="0">
      <alignment vertical="top"/>
    </xf>
    <xf numFmtId="0" fontId="6" fillId="0" borderId="0" applyNumberFormat="0" applyFont="0" applyFill="0" applyBorder="0" applyAlignment="0" applyProtection="0">
      <alignment vertical="top"/>
    </xf>
    <xf numFmtId="0" fontId="111" fillId="0" borderId="0" applyNumberFormat="0" applyFont="0" applyFill="0" applyBorder="0" applyAlignment="0" applyProtection="0">
      <alignment vertical="top"/>
    </xf>
  </cellStyleXfs>
  <cellXfs count="665">
    <xf numFmtId="0" fontId="0" fillId="0" borderId="0" xfId="0"/>
    <xf numFmtId="0" fontId="30" fillId="0" borderId="0" xfId="117" applyFont="1"/>
    <xf numFmtId="0" fontId="31" fillId="0" borderId="0" xfId="117" applyFont="1" applyAlignment="1">
      <alignment horizontal="center"/>
    </xf>
    <xf numFmtId="0" fontId="31" fillId="0" borderId="0" xfId="117" applyFont="1"/>
    <xf numFmtId="0" fontId="29" fillId="0" borderId="0" xfId="117" applyFont="1" applyAlignment="1">
      <alignment horizontal="center"/>
    </xf>
    <xf numFmtId="0" fontId="32" fillId="0" borderId="0" xfId="117" applyFont="1" applyAlignment="1">
      <alignment horizontal="center"/>
    </xf>
    <xf numFmtId="0" fontId="31" fillId="0" borderId="15" xfId="117" applyFont="1" applyBorder="1" applyAlignment="1">
      <alignment horizontal="center"/>
    </xf>
    <xf numFmtId="0" fontId="31" fillId="0" borderId="15" xfId="117" applyFont="1" applyBorder="1"/>
    <xf numFmtId="0" fontId="31" fillId="0" borderId="16" xfId="117" applyFont="1" applyBorder="1" applyAlignment="1">
      <alignment horizontal="center"/>
    </xf>
    <xf numFmtId="0" fontId="31" fillId="0" borderId="17" xfId="117" applyFont="1" applyBorder="1" applyAlignment="1">
      <alignment horizontal="center"/>
    </xf>
    <xf numFmtId="0" fontId="31" fillId="0" borderId="17" xfId="117" applyFont="1" applyBorder="1"/>
    <xf numFmtId="0" fontId="33" fillId="0" borderId="17" xfId="117" applyFont="1" applyBorder="1" applyAlignment="1">
      <alignment horizontal="center"/>
    </xf>
    <xf numFmtId="0" fontId="33" fillId="0" borderId="17" xfId="117" applyFont="1" applyBorder="1"/>
    <xf numFmtId="0" fontId="33" fillId="0" borderId="18" xfId="117" applyFont="1" applyBorder="1"/>
    <xf numFmtId="0" fontId="31" fillId="0" borderId="19" xfId="117" applyFont="1" applyBorder="1" applyAlignment="1">
      <alignment horizontal="center" wrapText="1"/>
    </xf>
    <xf numFmtId="0" fontId="30" fillId="0" borderId="15" xfId="117" applyFont="1" applyBorder="1"/>
    <xf numFmtId="0" fontId="31" fillId="0" borderId="15" xfId="117" applyFont="1" applyBorder="1" applyAlignment="1">
      <alignment horizontal="center" wrapText="1"/>
    </xf>
    <xf numFmtId="0" fontId="31" fillId="0" borderId="20" xfId="117" applyFont="1" applyBorder="1" applyAlignment="1">
      <alignment horizontal="center" wrapText="1"/>
    </xf>
    <xf numFmtId="0" fontId="34" fillId="0" borderId="21" xfId="117" applyFont="1" applyBorder="1" applyAlignment="1">
      <alignment horizontal="center"/>
    </xf>
    <xf numFmtId="0" fontId="35" fillId="0" borderId="23" xfId="117" applyFont="1" applyBorder="1"/>
    <xf numFmtId="0" fontId="36" fillId="0" borderId="0" xfId="117" applyFont="1"/>
    <xf numFmtId="0" fontId="34" fillId="0" borderId="26" xfId="117" applyFont="1" applyBorder="1" applyAlignment="1">
      <alignment horizontal="center"/>
    </xf>
    <xf numFmtId="0" fontId="34" fillId="0" borderId="27" xfId="117" applyFont="1" applyBorder="1" applyAlignment="1">
      <alignment horizontal="center"/>
    </xf>
    <xf numFmtId="0" fontId="35" fillId="0" borderId="6" xfId="117" applyFont="1" applyBorder="1"/>
    <xf numFmtId="0" fontId="31" fillId="0" borderId="26" xfId="117" applyFont="1" applyBorder="1" applyAlignment="1">
      <alignment horizontal="center"/>
    </xf>
    <xf numFmtId="0" fontId="31" fillId="0" borderId="27" xfId="117" applyFont="1" applyBorder="1" applyAlignment="1">
      <alignment horizontal="center"/>
    </xf>
    <xf numFmtId="0" fontId="31" fillId="0" borderId="6" xfId="117" applyFont="1" applyBorder="1"/>
    <xf numFmtId="0" fontId="37" fillId="0" borderId="27" xfId="117" applyFont="1" applyBorder="1" applyAlignment="1">
      <alignment horizontal="center"/>
    </xf>
    <xf numFmtId="1" fontId="37" fillId="0" borderId="27" xfId="117" applyNumberFormat="1" applyFont="1" applyBorder="1" applyAlignment="1">
      <alignment horizontal="center"/>
    </xf>
    <xf numFmtId="10" fontId="37" fillId="0" borderId="27" xfId="145" applyNumberFormat="1" applyFont="1" applyBorder="1" applyAlignment="1">
      <alignment horizontal="center"/>
    </xf>
    <xf numFmtId="2" fontId="30" fillId="0" borderId="0" xfId="117" applyNumberFormat="1" applyFont="1"/>
    <xf numFmtId="0" fontId="31" fillId="0" borderId="6" xfId="117" applyFont="1" applyBorder="1" applyAlignment="1">
      <alignment wrapText="1"/>
    </xf>
    <xf numFmtId="2" fontId="37" fillId="0" borderId="27" xfId="117" applyNumberFormat="1" applyFont="1" applyBorder="1" applyAlignment="1">
      <alignment horizontal="center"/>
    </xf>
    <xf numFmtId="10" fontId="37" fillId="0" borderId="28" xfId="145" applyNumberFormat="1" applyFont="1" applyBorder="1" applyAlignment="1">
      <alignment horizontal="center"/>
    </xf>
    <xf numFmtId="0" fontId="31" fillId="0" borderId="6" xfId="117" applyFont="1" applyBorder="1" applyAlignment="1">
      <alignment horizontal="left"/>
    </xf>
    <xf numFmtId="2" fontId="37" fillId="0" borderId="28" xfId="117" applyNumberFormat="1" applyFont="1" applyBorder="1" applyAlignment="1">
      <alignment horizontal="center"/>
    </xf>
    <xf numFmtId="0" fontId="35" fillId="0" borderId="6" xfId="117" applyFont="1" applyBorder="1" applyAlignment="1">
      <alignment wrapText="1"/>
    </xf>
    <xf numFmtId="0" fontId="34" fillId="0" borderId="26" xfId="117" applyFont="1" applyBorder="1" applyAlignment="1">
      <alignment wrapText="1"/>
    </xf>
    <xf numFmtId="0" fontId="37" fillId="0" borderId="28" xfId="117" applyFont="1" applyBorder="1" applyAlignment="1">
      <alignment horizontal="center"/>
    </xf>
    <xf numFmtId="0" fontId="37" fillId="0" borderId="0" xfId="117" applyFont="1"/>
    <xf numFmtId="0" fontId="34" fillId="0" borderId="6" xfId="117" applyFont="1" applyBorder="1" applyAlignment="1">
      <alignment wrapText="1"/>
    </xf>
    <xf numFmtId="0" fontId="37" fillId="0" borderId="6" xfId="117" applyFont="1" applyBorder="1" applyAlignment="1">
      <alignment wrapText="1"/>
    </xf>
    <xf numFmtId="2" fontId="31" fillId="0" borderId="27" xfId="117" applyNumberFormat="1" applyFont="1" applyBorder="1" applyAlignment="1">
      <alignment horizontal="center"/>
    </xf>
    <xf numFmtId="0" fontId="34" fillId="0" borderId="29" xfId="117" applyFont="1" applyBorder="1" applyAlignment="1">
      <alignment horizontal="center"/>
    </xf>
    <xf numFmtId="0" fontId="31" fillId="0" borderId="30" xfId="117" applyFont="1" applyBorder="1" applyAlignment="1">
      <alignment horizontal="center"/>
    </xf>
    <xf numFmtId="0" fontId="31" fillId="0" borderId="31" xfId="117" applyFont="1" applyBorder="1" applyAlignment="1">
      <alignment wrapText="1"/>
    </xf>
    <xf numFmtId="10" fontId="36" fillId="0" borderId="30" xfId="145" applyNumberFormat="1" applyFont="1" applyFill="1" applyBorder="1" applyAlignment="1">
      <alignment horizontal="center"/>
    </xf>
    <xf numFmtId="0" fontId="29" fillId="0" borderId="32" xfId="117" applyFont="1" applyBorder="1" applyAlignment="1">
      <alignment horizontal="center"/>
    </xf>
    <xf numFmtId="0" fontId="29" fillId="0" borderId="33" xfId="117" applyFont="1" applyBorder="1" applyAlignment="1">
      <alignment horizontal="center"/>
    </xf>
    <xf numFmtId="0" fontId="31" fillId="0" borderId="33" xfId="117" applyFont="1" applyBorder="1" applyAlignment="1">
      <alignment horizontal="center"/>
    </xf>
    <xf numFmtId="0" fontId="32" fillId="0" borderId="33" xfId="117" applyFont="1" applyBorder="1" applyAlignment="1">
      <alignment horizontal="center"/>
    </xf>
    <xf numFmtId="0" fontId="32" fillId="0" borderId="34" xfId="117" applyFont="1" applyBorder="1" applyAlignment="1">
      <alignment horizontal="center"/>
    </xf>
    <xf numFmtId="0" fontId="31" fillId="0" borderId="35" xfId="117" applyFont="1" applyBorder="1" applyAlignment="1">
      <alignment horizontal="center"/>
    </xf>
    <xf numFmtId="0" fontId="31" fillId="0" borderId="10" xfId="117" applyFont="1" applyBorder="1" applyAlignment="1">
      <alignment horizontal="center"/>
    </xf>
    <xf numFmtId="0" fontId="31" fillId="0" borderId="10" xfId="117" applyFont="1" applyBorder="1"/>
    <xf numFmtId="0" fontId="31" fillId="0" borderId="36" xfId="117" applyFont="1" applyBorder="1" applyAlignment="1">
      <alignment horizontal="center"/>
    </xf>
    <xf numFmtId="0" fontId="31" fillId="0" borderId="37" xfId="117" applyFont="1" applyBorder="1" applyAlignment="1">
      <alignment horizontal="center"/>
    </xf>
    <xf numFmtId="0" fontId="31" fillId="0" borderId="37" xfId="117" applyFont="1" applyBorder="1"/>
    <xf numFmtId="0" fontId="31" fillId="0" borderId="19" xfId="117" applyFont="1" applyBorder="1" applyAlignment="1">
      <alignment horizontal="center"/>
    </xf>
    <xf numFmtId="0" fontId="30" fillId="0" borderId="5" xfId="117" applyFont="1" applyBorder="1"/>
    <xf numFmtId="0" fontId="31" fillId="0" borderId="24" xfId="117" applyFont="1" applyBorder="1" applyAlignment="1">
      <alignment horizontal="center"/>
    </xf>
    <xf numFmtId="0" fontId="38" fillId="0" borderId="27" xfId="117" applyFont="1" applyBorder="1" applyAlignment="1">
      <alignment horizontal="center"/>
    </xf>
    <xf numFmtId="0" fontId="34" fillId="0" borderId="6" xfId="117" applyFont="1" applyBorder="1"/>
    <xf numFmtId="0" fontId="34" fillId="0" borderId="30" xfId="117" applyFont="1" applyBorder="1" applyAlignment="1">
      <alignment horizontal="center"/>
    </xf>
    <xf numFmtId="0" fontId="31" fillId="0" borderId="38" xfId="117" applyFont="1" applyBorder="1" applyAlignment="1">
      <alignment horizontal="center"/>
    </xf>
    <xf numFmtId="0" fontId="31" fillId="0" borderId="39" xfId="117" applyFont="1" applyBorder="1" applyAlignment="1">
      <alignment horizontal="center"/>
    </xf>
    <xf numFmtId="0" fontId="31" fillId="0" borderId="39" xfId="117" applyFont="1" applyBorder="1"/>
    <xf numFmtId="0" fontId="30" fillId="0" borderId="39" xfId="117" applyFont="1" applyBorder="1"/>
    <xf numFmtId="0" fontId="30" fillId="0" borderId="40" xfId="117" applyFont="1" applyBorder="1"/>
    <xf numFmtId="0" fontId="31" fillId="0" borderId="32" xfId="117" applyFont="1" applyBorder="1" applyAlignment="1">
      <alignment horizontal="center"/>
    </xf>
    <xf numFmtId="0" fontId="31" fillId="0" borderId="33" xfId="117" applyFont="1" applyBorder="1"/>
    <xf numFmtId="0" fontId="31" fillId="0" borderId="5" xfId="117" applyFont="1" applyBorder="1" applyAlignment="1">
      <alignment horizontal="center"/>
    </xf>
    <xf numFmtId="0" fontId="31" fillId="0" borderId="24" xfId="117" quotePrefix="1" applyFont="1" applyBorder="1" applyAlignment="1">
      <alignment horizontal="center"/>
    </xf>
    <xf numFmtId="0" fontId="31" fillId="0" borderId="23" xfId="117" applyFont="1" applyBorder="1" applyAlignment="1">
      <alignment horizontal="center"/>
    </xf>
    <xf numFmtId="0" fontId="31" fillId="0" borderId="6" xfId="117" applyFont="1" applyBorder="1" applyAlignment="1">
      <alignment horizontal="center"/>
    </xf>
    <xf numFmtId="10" fontId="37" fillId="0" borderId="30" xfId="145" applyNumberFormat="1" applyFont="1" applyBorder="1" applyAlignment="1">
      <alignment horizontal="center"/>
    </xf>
    <xf numFmtId="0" fontId="31" fillId="0" borderId="0" xfId="117" applyFont="1" applyAlignment="1">
      <alignment horizontal="left"/>
    </xf>
    <xf numFmtId="0" fontId="31" fillId="0" borderId="41" xfId="117" applyFont="1" applyBorder="1" applyAlignment="1">
      <alignment horizontal="center"/>
    </xf>
    <xf numFmtId="0" fontId="31" fillId="0" borderId="42" xfId="117" applyFont="1" applyBorder="1" applyAlignment="1">
      <alignment horizontal="left"/>
    </xf>
    <xf numFmtId="0" fontId="37" fillId="0" borderId="17" xfId="117" applyFont="1" applyBorder="1"/>
    <xf numFmtId="0" fontId="31" fillId="0" borderId="17" xfId="117" applyFont="1" applyBorder="1" applyAlignment="1">
      <alignment horizontal="left"/>
    </xf>
    <xf numFmtId="0" fontId="31" fillId="0" borderId="18" xfId="117" applyFont="1" applyBorder="1"/>
    <xf numFmtId="0" fontId="31" fillId="0" borderId="42" xfId="117" applyFont="1" applyBorder="1" applyAlignment="1">
      <alignment horizontal="left" vertical="center" wrapText="1"/>
    </xf>
    <xf numFmtId="0" fontId="31" fillId="0" borderId="43" xfId="117" applyFont="1" applyBorder="1" applyAlignment="1">
      <alignment horizontal="left"/>
    </xf>
    <xf numFmtId="0" fontId="31" fillId="0" borderId="44" xfId="117" applyFont="1" applyBorder="1" applyAlignment="1">
      <alignment horizontal="left"/>
    </xf>
    <xf numFmtId="0" fontId="31" fillId="0" borderId="22" xfId="117" applyFont="1" applyBorder="1" applyAlignment="1">
      <alignment horizontal="left"/>
    </xf>
    <xf numFmtId="0" fontId="37" fillId="0" borderId="22" xfId="117" applyFont="1" applyBorder="1" applyAlignment="1">
      <alignment horizontal="center"/>
    </xf>
    <xf numFmtId="0" fontId="37" fillId="0" borderId="45" xfId="117" applyFont="1" applyBorder="1" applyAlignment="1">
      <alignment horizontal="center"/>
    </xf>
    <xf numFmtId="0" fontId="37" fillId="0" borderId="10" xfId="117" applyFont="1" applyBorder="1"/>
    <xf numFmtId="2" fontId="37" fillId="0" borderId="46" xfId="117" applyNumberFormat="1" applyFont="1" applyBorder="1" applyAlignment="1">
      <alignment horizontal="left"/>
    </xf>
    <xf numFmtId="0" fontId="37" fillId="0" borderId="46" xfId="117" applyFont="1" applyBorder="1" applyAlignment="1">
      <alignment horizontal="left"/>
    </xf>
    <xf numFmtId="0" fontId="31" fillId="0" borderId="47" xfId="117" applyFont="1" applyBorder="1" applyAlignment="1">
      <alignment horizontal="center"/>
    </xf>
    <xf numFmtId="0" fontId="37" fillId="0" borderId="48" xfId="117" applyFont="1" applyBorder="1"/>
    <xf numFmtId="0" fontId="31" fillId="0" borderId="48" xfId="117" applyFont="1" applyBorder="1"/>
    <xf numFmtId="0" fontId="31" fillId="0" borderId="49" xfId="117" applyFont="1" applyBorder="1" applyAlignment="1">
      <alignment horizontal="left"/>
    </xf>
    <xf numFmtId="2" fontId="31" fillId="0" borderId="30" xfId="117" applyNumberFormat="1" applyFont="1" applyBorder="1" applyAlignment="1">
      <alignment horizontal="center"/>
    </xf>
    <xf numFmtId="2" fontId="31" fillId="0" borderId="50" xfId="117" applyNumberFormat="1" applyFont="1" applyBorder="1" applyAlignment="1">
      <alignment horizontal="center"/>
    </xf>
    <xf numFmtId="0" fontId="37" fillId="0" borderId="51" xfId="117" applyFont="1" applyBorder="1" applyAlignment="1">
      <alignment horizontal="left"/>
    </xf>
    <xf numFmtId="0" fontId="37" fillId="0" borderId="52" xfId="117" applyFont="1" applyBorder="1" applyAlignment="1">
      <alignment horizontal="left"/>
    </xf>
    <xf numFmtId="0" fontId="37" fillId="0" borderId="53" xfId="117" applyFont="1" applyBorder="1" applyAlignment="1">
      <alignment horizontal="left"/>
    </xf>
    <xf numFmtId="0" fontId="37" fillId="0" borderId="52" xfId="117" applyFont="1" applyBorder="1" applyAlignment="1">
      <alignment horizontal="center"/>
    </xf>
    <xf numFmtId="0" fontId="37" fillId="0" borderId="53" xfId="117" applyFont="1" applyBorder="1" applyAlignment="1">
      <alignment horizontal="center"/>
    </xf>
    <xf numFmtId="0" fontId="37" fillId="0" borderId="33" xfId="117" applyFont="1" applyBorder="1"/>
    <xf numFmtId="0" fontId="31" fillId="0" borderId="45" xfId="117" applyFont="1" applyBorder="1" applyAlignment="1">
      <alignment horizontal="left"/>
    </xf>
    <xf numFmtId="0" fontId="31" fillId="0" borderId="46" xfId="117" applyFont="1" applyBorder="1" applyAlignment="1">
      <alignment horizontal="left"/>
    </xf>
    <xf numFmtId="2" fontId="31" fillId="0" borderId="28" xfId="117" applyNumberFormat="1" applyFont="1" applyBorder="1" applyAlignment="1">
      <alignment horizontal="center"/>
    </xf>
    <xf numFmtId="0" fontId="37" fillId="0" borderId="10" xfId="117" applyFont="1" applyBorder="1" applyAlignment="1">
      <alignment vertical="center" wrapText="1"/>
    </xf>
    <xf numFmtId="0" fontId="31" fillId="0" borderId="46" xfId="117" applyFont="1" applyBorder="1" applyAlignment="1">
      <alignment horizontal="left" vertical="center" wrapText="1"/>
    </xf>
    <xf numFmtId="10" fontId="31" fillId="0" borderId="30" xfId="145" applyNumberFormat="1" applyFont="1" applyBorder="1" applyAlignment="1">
      <alignment horizontal="center"/>
    </xf>
    <xf numFmtId="10" fontId="31" fillId="0" borderId="50" xfId="145" applyNumberFormat="1" applyFont="1" applyBorder="1" applyAlignment="1">
      <alignment horizontal="center"/>
    </xf>
    <xf numFmtId="0" fontId="31" fillId="0" borderId="54" xfId="117" applyFont="1" applyBorder="1" applyAlignment="1">
      <alignment horizontal="center"/>
    </xf>
    <xf numFmtId="0" fontId="37" fillId="0" borderId="55" xfId="117" applyFont="1" applyBorder="1"/>
    <xf numFmtId="0" fontId="31" fillId="0" borderId="56" xfId="117" applyFont="1" applyBorder="1" applyAlignment="1">
      <alignment horizontal="left"/>
    </xf>
    <xf numFmtId="0" fontId="31" fillId="0" borderId="21" xfId="117" applyFont="1" applyBorder="1" applyAlignment="1">
      <alignment horizontal="left"/>
    </xf>
    <xf numFmtId="0" fontId="31" fillId="0" borderId="57" xfId="117" applyFont="1" applyBorder="1" applyAlignment="1">
      <alignment horizontal="left"/>
    </xf>
    <xf numFmtId="0" fontId="37" fillId="0" borderId="24" xfId="117" applyFont="1" applyBorder="1" applyAlignment="1">
      <alignment horizontal="center"/>
    </xf>
    <xf numFmtId="10" fontId="37" fillId="0" borderId="24" xfId="145" applyNumberFormat="1" applyFont="1" applyBorder="1" applyAlignment="1">
      <alignment horizontal="center"/>
    </xf>
    <xf numFmtId="2" fontId="37" fillId="0" borderId="25" xfId="117" applyNumberFormat="1" applyFont="1" applyBorder="1" applyAlignment="1">
      <alignment horizontal="center"/>
    </xf>
    <xf numFmtId="0" fontId="31" fillId="0" borderId="35" xfId="117" applyFont="1" applyBorder="1" applyAlignment="1">
      <alignment horizontal="center" vertical="top"/>
    </xf>
    <xf numFmtId="0" fontId="37" fillId="0" borderId="10" xfId="117" applyFont="1" applyBorder="1" applyAlignment="1">
      <alignment wrapText="1"/>
    </xf>
    <xf numFmtId="0" fontId="31" fillId="0" borderId="46" xfId="117" applyFont="1" applyBorder="1" applyAlignment="1">
      <alignment horizontal="left" wrapText="1"/>
    </xf>
    <xf numFmtId="2" fontId="37" fillId="0" borderId="30" xfId="117" applyNumberFormat="1" applyFont="1" applyBorder="1" applyAlignment="1">
      <alignment horizontal="center"/>
    </xf>
    <xf numFmtId="10" fontId="37" fillId="0" borderId="50" xfId="145" applyNumberFormat="1" applyFont="1" applyBorder="1" applyAlignment="1">
      <alignment horizontal="center"/>
    </xf>
    <xf numFmtId="0" fontId="31" fillId="0" borderId="23" xfId="117" applyFont="1" applyBorder="1" applyAlignment="1">
      <alignment horizontal="left"/>
    </xf>
    <xf numFmtId="0" fontId="37" fillId="0" borderId="25" xfId="117" applyFont="1" applyBorder="1" applyAlignment="1">
      <alignment horizontal="center"/>
    </xf>
    <xf numFmtId="2" fontId="37" fillId="0" borderId="24" xfId="117" applyNumberFormat="1" applyFont="1" applyBorder="1" applyAlignment="1">
      <alignment horizontal="center"/>
    </xf>
    <xf numFmtId="0" fontId="37" fillId="0" borderId="30" xfId="117" applyFont="1" applyBorder="1" applyAlignment="1">
      <alignment horizontal="center"/>
    </xf>
    <xf numFmtId="0" fontId="37" fillId="0" borderId="50" xfId="117" applyFont="1" applyBorder="1" applyAlignment="1">
      <alignment horizontal="center"/>
    </xf>
    <xf numFmtId="2" fontId="31" fillId="0" borderId="0" xfId="117" applyNumberFormat="1" applyFont="1" applyAlignment="1">
      <alignment horizontal="left"/>
    </xf>
    <xf numFmtId="2" fontId="31" fillId="39" borderId="27" xfId="117" applyNumberFormat="1" applyFont="1" applyFill="1" applyBorder="1" applyAlignment="1">
      <alignment horizontal="center"/>
    </xf>
    <xf numFmtId="0" fontId="37" fillId="0" borderId="6" xfId="117" applyFont="1" applyBorder="1"/>
    <xf numFmtId="0" fontId="37" fillId="0" borderId="24" xfId="117" applyFont="1" applyBorder="1"/>
    <xf numFmtId="0" fontId="37" fillId="0" borderId="27" xfId="117" applyFont="1" applyBorder="1"/>
    <xf numFmtId="0" fontId="37" fillId="0" borderId="27" xfId="117" applyFont="1" applyBorder="1" applyAlignment="1">
      <alignment vertical="center" wrapText="1"/>
    </xf>
    <xf numFmtId="0" fontId="37" fillId="0" borderId="27" xfId="117" applyFont="1" applyBorder="1" applyAlignment="1">
      <alignment wrapText="1"/>
    </xf>
    <xf numFmtId="10" fontId="31" fillId="39" borderId="27" xfId="145" applyNumberFormat="1" applyFont="1" applyFill="1" applyBorder="1" applyAlignment="1">
      <alignment horizontal="center"/>
    </xf>
    <xf numFmtId="0" fontId="39" fillId="0" borderId="27" xfId="117" applyFont="1" applyBorder="1" applyAlignment="1">
      <alignment horizontal="center"/>
    </xf>
    <xf numFmtId="0" fontId="34" fillId="39" borderId="27" xfId="117" applyFont="1" applyFill="1" applyBorder="1" applyAlignment="1">
      <alignment horizontal="center"/>
    </xf>
    <xf numFmtId="0" fontId="35" fillId="39" borderId="6" xfId="117" applyFont="1" applyFill="1" applyBorder="1"/>
    <xf numFmtId="0" fontId="38" fillId="39" borderId="27" xfId="117" applyFont="1" applyFill="1" applyBorder="1" applyAlignment="1">
      <alignment horizontal="center"/>
    </xf>
    <xf numFmtId="0" fontId="34" fillId="39" borderId="30" xfId="117" applyFont="1" applyFill="1" applyBorder="1" applyAlignment="1">
      <alignment horizontal="center"/>
    </xf>
    <xf numFmtId="0" fontId="34" fillId="39" borderId="31" xfId="117" applyFont="1" applyFill="1" applyBorder="1"/>
    <xf numFmtId="2" fontId="31" fillId="39" borderId="30" xfId="117" applyNumberFormat="1" applyFont="1" applyFill="1" applyBorder="1" applyAlignment="1">
      <alignment horizontal="center"/>
    </xf>
    <xf numFmtId="0" fontId="58" fillId="0" borderId="26" xfId="0" applyFont="1" applyBorder="1"/>
    <xf numFmtId="1" fontId="59" fillId="0" borderId="35" xfId="0" applyNumberFormat="1" applyFont="1" applyBorder="1"/>
    <xf numFmtId="1" fontId="59" fillId="0" borderId="58" xfId="0" applyNumberFormat="1" applyFont="1" applyBorder="1"/>
    <xf numFmtId="0" fontId="59" fillId="0" borderId="26" xfId="0" applyFont="1" applyBorder="1"/>
    <xf numFmtId="2" fontId="31" fillId="0" borderId="31" xfId="117" applyNumberFormat="1" applyFont="1" applyBorder="1" applyAlignment="1">
      <alignment horizontal="left"/>
    </xf>
    <xf numFmtId="0" fontId="60" fillId="0" borderId="0" xfId="0" applyFont="1"/>
    <xf numFmtId="0" fontId="58" fillId="0" borderId="0" xfId="0" applyFont="1" applyAlignment="1">
      <alignment horizontal="center"/>
    </xf>
    <xf numFmtId="0" fontId="58" fillId="0" borderId="0" xfId="0" applyFont="1"/>
    <xf numFmtId="0" fontId="61" fillId="0" borderId="0" xfId="0" applyFont="1" applyAlignment="1">
      <alignment horizontal="center"/>
    </xf>
    <xf numFmtId="0" fontId="58" fillId="0" borderId="15" xfId="0" applyFont="1" applyBorder="1" applyAlignment="1">
      <alignment horizontal="center"/>
    </xf>
    <xf numFmtId="0" fontId="58" fillId="0" borderId="5" xfId="0" applyFont="1" applyBorder="1" applyAlignment="1">
      <alignment horizontal="center"/>
    </xf>
    <xf numFmtId="0" fontId="58" fillId="0" borderId="15" xfId="0" applyFont="1" applyBorder="1"/>
    <xf numFmtId="0" fontId="58" fillId="0" borderId="5" xfId="0" applyFont="1" applyBorder="1"/>
    <xf numFmtId="0" fontId="58" fillId="0" borderId="59" xfId="0" applyFont="1" applyBorder="1" applyAlignment="1">
      <alignment horizontal="center"/>
    </xf>
    <xf numFmtId="0" fontId="58" fillId="0" borderId="60" xfId="0" applyFont="1" applyBorder="1" applyAlignment="1">
      <alignment horizontal="center"/>
    </xf>
    <xf numFmtId="0" fontId="62" fillId="0" borderId="17" xfId="0" applyFont="1" applyBorder="1"/>
    <xf numFmtId="0" fontId="63" fillId="0" borderId="22" xfId="0" applyFont="1" applyBorder="1" applyAlignment="1">
      <alignment horizontal="center"/>
    </xf>
    <xf numFmtId="0" fontId="63" fillId="0" borderId="61" xfId="0" applyFont="1" applyBorder="1" applyAlignment="1">
      <alignment horizontal="center"/>
    </xf>
    <xf numFmtId="0" fontId="64" fillId="0" borderId="22" xfId="0" applyFont="1" applyBorder="1"/>
    <xf numFmtId="0" fontId="65" fillId="0" borderId="0" xfId="0" applyFont="1"/>
    <xf numFmtId="0" fontId="58" fillId="0" borderId="27" xfId="0" applyFont="1" applyBorder="1" applyAlignment="1">
      <alignment horizontal="center"/>
    </xf>
    <xf numFmtId="0" fontId="58" fillId="0" borderId="6" xfId="0" applyFont="1" applyBorder="1" applyAlignment="1">
      <alignment horizontal="center"/>
    </xf>
    <xf numFmtId="0" fontId="59" fillId="0" borderId="27" xfId="0" applyFont="1" applyBorder="1"/>
    <xf numFmtId="0" fontId="58" fillId="0" borderId="27" xfId="0" applyFont="1" applyBorder="1"/>
    <xf numFmtId="0" fontId="63" fillId="0" borderId="30" xfId="0" applyFont="1" applyBorder="1" applyAlignment="1">
      <alignment horizontal="center"/>
    </xf>
    <xf numFmtId="0" fontId="63" fillId="0" borderId="6" xfId="0" applyFont="1" applyBorder="1" applyAlignment="1">
      <alignment horizontal="center"/>
    </xf>
    <xf numFmtId="0" fontId="63" fillId="0" borderId="30" xfId="0" applyFont="1" applyBorder="1"/>
    <xf numFmtId="0" fontId="58" fillId="0" borderId="59" xfId="0" applyFont="1" applyBorder="1"/>
    <xf numFmtId="0" fontId="62" fillId="0" borderId="27" xfId="0" applyFont="1" applyBorder="1"/>
    <xf numFmtId="0" fontId="63" fillId="0" borderId="31" xfId="0" applyFont="1" applyBorder="1" applyAlignment="1">
      <alignment horizontal="center"/>
    </xf>
    <xf numFmtId="0" fontId="62" fillId="0" borderId="30" xfId="0" applyFont="1" applyBorder="1"/>
    <xf numFmtId="0" fontId="58" fillId="0" borderId="17" xfId="0" applyFont="1" applyBorder="1" applyAlignment="1">
      <alignment horizontal="center"/>
    </xf>
    <xf numFmtId="0" fontId="60" fillId="0" borderId="17" xfId="0" applyFont="1" applyBorder="1"/>
    <xf numFmtId="0" fontId="65" fillId="0" borderId="32" xfId="0" applyFont="1" applyBorder="1"/>
    <xf numFmtId="0" fontId="65" fillId="0" borderId="34" xfId="0" applyFont="1" applyBorder="1"/>
    <xf numFmtId="1" fontId="60" fillId="0" borderId="0" xfId="0" applyNumberFormat="1" applyFont="1"/>
    <xf numFmtId="0" fontId="62" fillId="0" borderId="0" xfId="0" applyFont="1"/>
    <xf numFmtId="167" fontId="60" fillId="0" borderId="0" xfId="0" applyNumberFormat="1" applyFont="1"/>
    <xf numFmtId="2" fontId="59" fillId="0" borderId="35" xfId="0" applyNumberFormat="1" applyFont="1" applyBorder="1"/>
    <xf numFmtId="2" fontId="59" fillId="0" borderId="58" xfId="0" applyNumberFormat="1" applyFont="1" applyBorder="1"/>
    <xf numFmtId="1" fontId="59" fillId="0" borderId="10" xfId="0" applyNumberFormat="1" applyFont="1" applyBorder="1"/>
    <xf numFmtId="1" fontId="59" fillId="0" borderId="62" xfId="0" applyNumberFormat="1" applyFont="1" applyBorder="1"/>
    <xf numFmtId="0" fontId="58" fillId="0" borderId="15" xfId="0" applyFont="1" applyBorder="1" applyAlignment="1">
      <alignment horizontal="center" vertical="center"/>
    </xf>
    <xf numFmtId="0" fontId="58" fillId="0" borderId="5" xfId="0" applyFont="1" applyBorder="1" applyAlignment="1">
      <alignment horizontal="center" vertical="center"/>
    </xf>
    <xf numFmtId="0" fontId="60" fillId="0" borderId="15" xfId="0" applyFont="1" applyBorder="1" applyAlignment="1">
      <alignment vertical="center"/>
    </xf>
    <xf numFmtId="0" fontId="62" fillId="0" borderId="5" xfId="0" applyFont="1" applyBorder="1" applyAlignment="1">
      <alignment vertical="center"/>
    </xf>
    <xf numFmtId="0" fontId="60" fillId="0" borderId="0" xfId="0" applyFont="1" applyAlignment="1">
      <alignment vertical="center"/>
    </xf>
    <xf numFmtId="0" fontId="37" fillId="0" borderId="42" xfId="117" applyFont="1" applyBorder="1"/>
    <xf numFmtId="0" fontId="37" fillId="0" borderId="51" xfId="117" applyFont="1" applyBorder="1"/>
    <xf numFmtId="0" fontId="31" fillId="0" borderId="43" xfId="117" applyFont="1" applyBorder="1"/>
    <xf numFmtId="0" fontId="37" fillId="0" borderId="46" xfId="117" applyFont="1" applyBorder="1"/>
    <xf numFmtId="0" fontId="37" fillId="0" borderId="49" xfId="117" applyFont="1" applyBorder="1"/>
    <xf numFmtId="0" fontId="31" fillId="0" borderId="41" xfId="117" applyFont="1" applyBorder="1"/>
    <xf numFmtId="0" fontId="31" fillId="0" borderId="16" xfId="117" applyFont="1" applyBorder="1"/>
    <xf numFmtId="0" fontId="37" fillId="0" borderId="41" xfId="117" applyFont="1" applyBorder="1"/>
    <xf numFmtId="0" fontId="31" fillId="0" borderId="32" xfId="117" applyFont="1" applyBorder="1"/>
    <xf numFmtId="0" fontId="37" fillId="0" borderId="35" xfId="117" applyFont="1" applyBorder="1"/>
    <xf numFmtId="0" fontId="31" fillId="0" borderId="47" xfId="117" applyFont="1" applyBorder="1"/>
    <xf numFmtId="0" fontId="59" fillId="0" borderId="58" xfId="0" applyFont="1" applyBorder="1"/>
    <xf numFmtId="2" fontId="31" fillId="0" borderId="15" xfId="117" applyNumberFormat="1" applyFont="1" applyBorder="1" applyAlignment="1">
      <alignment horizontal="center" wrapText="1"/>
    </xf>
    <xf numFmtId="2" fontId="37" fillId="0" borderId="30" xfId="117" applyNumberFormat="1" applyFont="1" applyBorder="1" applyAlignment="1">
      <alignment horizontal="center" vertical="top"/>
    </xf>
    <xf numFmtId="2" fontId="31" fillId="0" borderId="0" xfId="117" applyNumberFormat="1" applyFont="1"/>
    <xf numFmtId="0" fontId="66" fillId="0" borderId="0" xfId="117" applyFont="1"/>
    <xf numFmtId="2" fontId="36" fillId="0" borderId="0" xfId="117" applyNumberFormat="1" applyFont="1"/>
    <xf numFmtId="1" fontId="37" fillId="0" borderId="27" xfId="118" applyNumberFormat="1" applyFont="1" applyBorder="1" applyAlignment="1">
      <alignment horizontal="center"/>
    </xf>
    <xf numFmtId="10" fontId="37" fillId="0" borderId="27" xfId="145" applyNumberFormat="1" applyFont="1" applyFill="1" applyBorder="1" applyAlignment="1">
      <alignment horizontal="center"/>
    </xf>
    <xf numFmtId="10" fontId="37" fillId="0" borderId="28" xfId="145" applyNumberFormat="1" applyFont="1" applyFill="1" applyBorder="1" applyAlignment="1">
      <alignment horizontal="center"/>
    </xf>
    <xf numFmtId="9" fontId="36" fillId="0" borderId="50" xfId="145" applyFont="1" applyFill="1" applyBorder="1" applyAlignment="1">
      <alignment horizontal="center"/>
    </xf>
    <xf numFmtId="0" fontId="31" fillId="0" borderId="27" xfId="117" applyFont="1" applyBorder="1"/>
    <xf numFmtId="0" fontId="31" fillId="0" borderId="31" xfId="117" applyFont="1" applyBorder="1" applyAlignment="1">
      <alignment horizontal="center"/>
    </xf>
    <xf numFmtId="0" fontId="31" fillId="0" borderId="30" xfId="117" applyFont="1" applyBorder="1" applyAlignment="1">
      <alignment wrapText="1"/>
    </xf>
    <xf numFmtId="0" fontId="31" fillId="0" borderId="30" xfId="117" applyFont="1" applyBorder="1" applyAlignment="1">
      <alignment horizontal="center" vertical="center"/>
    </xf>
    <xf numFmtId="10" fontId="37" fillId="0" borderId="30" xfId="145" applyNumberFormat="1" applyFont="1" applyFill="1" applyBorder="1" applyAlignment="1">
      <alignment horizontal="center"/>
    </xf>
    <xf numFmtId="2" fontId="31" fillId="0" borderId="24" xfId="117" applyNumberFormat="1" applyFont="1" applyBorder="1" applyAlignment="1">
      <alignment horizontal="center"/>
    </xf>
    <xf numFmtId="10" fontId="31" fillId="0" borderId="27" xfId="145" applyNumberFormat="1" applyFont="1" applyFill="1" applyBorder="1" applyAlignment="1">
      <alignment horizontal="center"/>
    </xf>
    <xf numFmtId="1" fontId="59" fillId="0" borderId="47" xfId="0" applyNumberFormat="1" applyFont="1" applyBorder="1"/>
    <xf numFmtId="1" fontId="59" fillId="0" borderId="63" xfId="0" applyNumberFormat="1" applyFont="1" applyBorder="1"/>
    <xf numFmtId="2" fontId="59" fillId="0" borderId="47" xfId="0" applyNumberFormat="1" applyFont="1" applyBorder="1"/>
    <xf numFmtId="0" fontId="67" fillId="0" borderId="0" xfId="0" applyFont="1" applyAlignment="1">
      <alignment horizontal="center"/>
    </xf>
    <xf numFmtId="0" fontId="68" fillId="0" borderId="0" xfId="0" applyFont="1" applyAlignment="1">
      <alignment horizontal="center"/>
    </xf>
    <xf numFmtId="0" fontId="60" fillId="0" borderId="18" xfId="0" applyFont="1" applyBorder="1"/>
    <xf numFmtId="2" fontId="59" fillId="0" borderId="63" xfId="0" applyNumberFormat="1" applyFont="1" applyBorder="1"/>
    <xf numFmtId="0" fontId="60" fillId="0" borderId="60" xfId="0" applyFont="1" applyBorder="1"/>
    <xf numFmtId="2" fontId="60" fillId="0" borderId="17" xfId="0" applyNumberFormat="1" applyFont="1" applyBorder="1"/>
    <xf numFmtId="0" fontId="31" fillId="0" borderId="19" xfId="117" applyFont="1" applyBorder="1" applyAlignment="1">
      <alignment horizontal="center" vertical="center" wrapText="1"/>
    </xf>
    <xf numFmtId="0" fontId="31" fillId="0" borderId="15" xfId="117" applyFont="1" applyBorder="1" applyAlignment="1">
      <alignment horizontal="center" vertical="center"/>
    </xf>
    <xf numFmtId="0" fontId="30" fillId="0" borderId="15" xfId="117" applyFont="1" applyBorder="1" applyAlignment="1">
      <alignment vertical="center"/>
    </xf>
    <xf numFmtId="0" fontId="31" fillId="0" borderId="15" xfId="117" applyFont="1" applyBorder="1" applyAlignment="1">
      <alignment vertical="center"/>
    </xf>
    <xf numFmtId="0" fontId="31" fillId="0" borderId="15" xfId="117" applyFont="1" applyBorder="1" applyAlignment="1">
      <alignment horizontal="center" vertical="center" wrapText="1"/>
    </xf>
    <xf numFmtId="0" fontId="31" fillId="0" borderId="15" xfId="118" applyFont="1" applyBorder="1" applyAlignment="1">
      <alignment horizontal="center" vertical="center" wrapText="1"/>
    </xf>
    <xf numFmtId="0" fontId="31" fillId="0" borderId="20" xfId="118" applyFont="1" applyBorder="1" applyAlignment="1">
      <alignment horizontal="center" vertical="center" wrapText="1"/>
    </xf>
    <xf numFmtId="0" fontId="30" fillId="0" borderId="0" xfId="117" applyFont="1" applyAlignment="1">
      <alignment vertical="center"/>
    </xf>
    <xf numFmtId="0" fontId="62" fillId="0" borderId="17" xfId="0" applyFont="1" applyBorder="1" applyAlignment="1">
      <alignment horizontal="center"/>
    </xf>
    <xf numFmtId="4" fontId="37" fillId="0" borderId="0" xfId="0" applyNumberFormat="1" applyFont="1"/>
    <xf numFmtId="1" fontId="58" fillId="0" borderId="35" xfId="0" applyNumberFormat="1" applyFont="1" applyBorder="1"/>
    <xf numFmtId="1" fontId="58" fillId="0" borderId="62" xfId="0" applyNumberFormat="1" applyFont="1" applyBorder="1"/>
    <xf numFmtId="0" fontId="58" fillId="0" borderId="58" xfId="0" applyFont="1" applyBorder="1"/>
    <xf numFmtId="1" fontId="58" fillId="0" borderId="10" xfId="0" applyNumberFormat="1" applyFont="1" applyBorder="1"/>
    <xf numFmtId="1" fontId="58" fillId="0" borderId="58" xfId="0" applyNumberFormat="1" applyFont="1" applyBorder="1"/>
    <xf numFmtId="1" fontId="59" fillId="0" borderId="26" xfId="0" applyNumberFormat="1" applyFont="1" applyBorder="1"/>
    <xf numFmtId="0" fontId="62" fillId="0" borderId="18" xfId="0" applyFont="1" applyBorder="1"/>
    <xf numFmtId="0" fontId="62" fillId="0" borderId="41" xfId="0" applyFont="1" applyBorder="1" applyAlignment="1">
      <alignment horizontal="center" vertical="center" wrapText="1"/>
    </xf>
    <xf numFmtId="0" fontId="62" fillId="0" borderId="64" xfId="0" applyFont="1" applyBorder="1" applyAlignment="1">
      <alignment horizontal="center" vertical="center" wrapText="1"/>
    </xf>
    <xf numFmtId="0" fontId="58" fillId="0" borderId="65" xfId="129" applyFont="1" applyBorder="1" applyAlignment="1">
      <alignment horizontal="center" vertical="center" wrapText="1"/>
    </xf>
    <xf numFmtId="0" fontId="58" fillId="0" borderId="64" xfId="129" applyFont="1" applyBorder="1" applyAlignment="1">
      <alignment horizontal="center" vertical="center" wrapText="1"/>
    </xf>
    <xf numFmtId="1" fontId="58" fillId="0" borderId="47" xfId="0" applyNumberFormat="1" applyFont="1" applyBorder="1"/>
    <xf numFmtId="1" fontId="58" fillId="0" borderId="63" xfId="0" applyNumberFormat="1" applyFont="1" applyBorder="1"/>
    <xf numFmtId="0" fontId="0" fillId="0" borderId="10" xfId="0" applyBorder="1"/>
    <xf numFmtId="0" fontId="58" fillId="0" borderId="41" xfId="0" applyFont="1" applyBorder="1" applyAlignment="1">
      <alignment horizontal="center"/>
    </xf>
    <xf numFmtId="0" fontId="58" fillId="0" borderId="17" xfId="0" applyFont="1" applyBorder="1"/>
    <xf numFmtId="0" fontId="61" fillId="0" borderId="17" xfId="0" applyFont="1" applyBorder="1" applyAlignment="1">
      <alignment horizontal="center"/>
    </xf>
    <xf numFmtId="0" fontId="67" fillId="0" borderId="17" xfId="0" applyFont="1" applyBorder="1" applyAlignment="1">
      <alignment horizontal="center"/>
    </xf>
    <xf numFmtId="0" fontId="68" fillId="0" borderId="17" xfId="0" applyFont="1" applyBorder="1" applyAlignment="1">
      <alignment horizontal="center"/>
    </xf>
    <xf numFmtId="0" fontId="58" fillId="0" borderId="42" xfId="0" applyFont="1" applyBorder="1" applyAlignment="1">
      <alignment horizontal="center"/>
    </xf>
    <xf numFmtId="0" fontId="60" fillId="0" borderId="15" xfId="0" applyFont="1" applyBorder="1"/>
    <xf numFmtId="0" fontId="62" fillId="0" borderId="15" xfId="0" applyFont="1" applyBorder="1"/>
    <xf numFmtId="0" fontId="62" fillId="0" borderId="41" xfId="0" applyFont="1" applyBorder="1" applyAlignment="1">
      <alignment horizontal="center" wrapText="1"/>
    </xf>
    <xf numFmtId="0" fontId="62" fillId="0" borderId="64" xfId="0" applyFont="1" applyBorder="1" applyAlignment="1">
      <alignment horizontal="center" wrapText="1"/>
    </xf>
    <xf numFmtId="0" fontId="62" fillId="0" borderId="65" xfId="0" applyFont="1" applyBorder="1" applyAlignment="1">
      <alignment horizontal="center" wrapText="1"/>
    </xf>
    <xf numFmtId="0" fontId="63" fillId="0" borderId="23" xfId="0" applyFont="1" applyBorder="1" applyAlignment="1">
      <alignment horizontal="center"/>
    </xf>
    <xf numFmtId="0" fontId="62" fillId="0" borderId="22" xfId="0" applyFont="1" applyBorder="1"/>
    <xf numFmtId="2" fontId="58" fillId="0" borderId="35" xfId="0" applyNumberFormat="1" applyFont="1" applyBorder="1"/>
    <xf numFmtId="0" fontId="58" fillId="0" borderId="30" xfId="0" applyFont="1" applyBorder="1" applyAlignment="1">
      <alignment horizontal="center"/>
    </xf>
    <xf numFmtId="2" fontId="58" fillId="0" borderId="47" xfId="0" applyNumberFormat="1" applyFont="1" applyBorder="1"/>
    <xf numFmtId="0" fontId="58" fillId="0" borderId="37" xfId="0" applyFont="1" applyBorder="1" applyAlignment="1">
      <alignment horizontal="center"/>
    </xf>
    <xf numFmtId="0" fontId="63" fillId="0" borderId="17" xfId="0" applyFont="1" applyBorder="1"/>
    <xf numFmtId="2" fontId="65" fillId="0" borderId="32" xfId="0" applyNumberFormat="1" applyFont="1" applyBorder="1"/>
    <xf numFmtId="2" fontId="65" fillId="0" borderId="34" xfId="0" applyNumberFormat="1" applyFont="1" applyBorder="1"/>
    <xf numFmtId="0" fontId="58" fillId="0" borderId="31" xfId="0" applyFont="1" applyBorder="1" applyAlignment="1">
      <alignment horizontal="center"/>
    </xf>
    <xf numFmtId="1" fontId="60" fillId="0" borderId="17" xfId="0" applyNumberFormat="1" applyFont="1" applyBorder="1"/>
    <xf numFmtId="2" fontId="60" fillId="0" borderId="0" xfId="0" applyNumberFormat="1" applyFont="1"/>
    <xf numFmtId="0" fontId="58" fillId="0" borderId="66" xfId="0" applyFont="1" applyBorder="1" applyAlignment="1">
      <alignment horizontal="center"/>
    </xf>
    <xf numFmtId="0" fontId="58" fillId="0" borderId="42" xfId="0" applyFont="1" applyBorder="1"/>
    <xf numFmtId="0" fontId="60" fillId="0" borderId="17" xfId="0" applyFont="1" applyBorder="1" applyAlignment="1">
      <alignment horizontal="center"/>
    </xf>
    <xf numFmtId="0" fontId="60" fillId="0" borderId="42" xfId="0" applyFont="1" applyBorder="1"/>
    <xf numFmtId="0" fontId="64" fillId="0" borderId="0" xfId="0" applyFont="1"/>
    <xf numFmtId="0" fontId="65" fillId="0" borderId="67" xfId="0" applyFont="1" applyBorder="1"/>
    <xf numFmtId="0" fontId="65" fillId="0" borderId="68" xfId="0" applyFont="1" applyBorder="1"/>
    <xf numFmtId="0" fontId="65" fillId="0" borderId="41" xfId="0" applyFont="1" applyBorder="1"/>
    <xf numFmtId="0" fontId="65" fillId="0" borderId="64" xfId="0" applyFont="1" applyBorder="1"/>
    <xf numFmtId="0" fontId="62" fillId="0" borderId="44" xfId="0" applyFont="1" applyBorder="1"/>
    <xf numFmtId="1" fontId="59" fillId="0" borderId="32" xfId="0" applyNumberFormat="1" applyFont="1" applyBorder="1"/>
    <xf numFmtId="1" fontId="59" fillId="0" borderId="34" xfId="0" applyNumberFormat="1" applyFont="1" applyBorder="1"/>
    <xf numFmtId="2" fontId="59" fillId="0" borderId="54" xfId="0" applyNumberFormat="1" applyFont="1" applyBorder="1"/>
    <xf numFmtId="2" fontId="59" fillId="0" borderId="69" xfId="0" applyNumberFormat="1" applyFont="1" applyBorder="1"/>
    <xf numFmtId="0" fontId="62" fillId="0" borderId="26" xfId="0" applyFont="1" applyBorder="1"/>
    <xf numFmtId="0" fontId="62" fillId="0" borderId="29" xfId="0" applyFont="1" applyBorder="1"/>
    <xf numFmtId="1" fontId="59" fillId="0" borderId="17" xfId="0" applyNumberFormat="1" applyFont="1" applyBorder="1"/>
    <xf numFmtId="0" fontId="59" fillId="0" borderId="17" xfId="0" applyFont="1" applyBorder="1"/>
    <xf numFmtId="2" fontId="59" fillId="0" borderId="17" xfId="0" applyNumberFormat="1" applyFont="1" applyBorder="1"/>
    <xf numFmtId="0" fontId="63" fillId="0" borderId="15" xfId="0" applyFont="1" applyBorder="1" applyAlignment="1">
      <alignment horizontal="center"/>
    </xf>
    <xf numFmtId="0" fontId="63" fillId="0" borderId="65" xfId="0" applyFont="1" applyBorder="1" applyAlignment="1">
      <alignment horizontal="center"/>
    </xf>
    <xf numFmtId="0" fontId="64" fillId="0" borderId="66" xfId="0" applyFont="1" applyBorder="1"/>
    <xf numFmtId="0" fontId="59" fillId="0" borderId="66" xfId="0" applyFont="1" applyBorder="1"/>
    <xf numFmtId="0" fontId="59" fillId="0" borderId="64" xfId="0" applyFont="1" applyBorder="1"/>
    <xf numFmtId="0" fontId="58" fillId="0" borderId="22" xfId="0" applyFont="1" applyBorder="1" applyAlignment="1">
      <alignment horizontal="center"/>
    </xf>
    <xf numFmtId="0" fontId="58" fillId="0" borderId="61" xfId="0" applyFont="1" applyBorder="1" applyAlignment="1">
      <alignment horizontal="center"/>
    </xf>
    <xf numFmtId="0" fontId="59" fillId="0" borderId="22" xfId="0" applyFont="1" applyBorder="1"/>
    <xf numFmtId="2" fontId="59" fillId="0" borderId="32" xfId="0" applyNumberFormat="1" applyFont="1" applyBorder="1"/>
    <xf numFmtId="2" fontId="59" fillId="0" borderId="34" xfId="0" applyNumberFormat="1" applyFont="1" applyBorder="1"/>
    <xf numFmtId="0" fontId="59" fillId="0" borderId="32" xfId="0" applyFont="1" applyBorder="1"/>
    <xf numFmtId="0" fontId="59" fillId="0" borderId="34" xfId="0" applyFont="1" applyBorder="1"/>
    <xf numFmtId="2" fontId="59" fillId="0" borderId="70" xfId="0" applyNumberFormat="1" applyFont="1" applyBorder="1"/>
    <xf numFmtId="2" fontId="59" fillId="0" borderId="62" xfId="0" applyNumberFormat="1" applyFont="1" applyBorder="1"/>
    <xf numFmtId="2" fontId="59" fillId="0" borderId="73" xfId="0" applyNumberFormat="1" applyFont="1" applyBorder="1"/>
    <xf numFmtId="4" fontId="0" fillId="0" borderId="0" xfId="0" applyNumberFormat="1"/>
    <xf numFmtId="0" fontId="69" fillId="0" borderId="0" xfId="0" applyFont="1"/>
    <xf numFmtId="1" fontId="70" fillId="0" borderId="0" xfId="0" applyNumberFormat="1" applyFont="1"/>
    <xf numFmtId="1" fontId="30" fillId="0" borderId="0" xfId="0" applyNumberFormat="1" applyFont="1"/>
    <xf numFmtId="165" fontId="60" fillId="0" borderId="0" xfId="175" applyFont="1"/>
    <xf numFmtId="165" fontId="60" fillId="0" borderId="0" xfId="175" applyFont="1" applyAlignment="1">
      <alignment vertical="center"/>
    </xf>
    <xf numFmtId="165" fontId="65" fillId="0" borderId="0" xfId="175" applyFont="1"/>
    <xf numFmtId="0" fontId="30" fillId="40" borderId="0" xfId="117" applyFont="1" applyFill="1"/>
    <xf numFmtId="0" fontId="37" fillId="40" borderId="0" xfId="117" applyFont="1" applyFill="1"/>
    <xf numFmtId="2" fontId="37" fillId="0" borderId="10" xfId="117" applyNumberFormat="1" applyFont="1" applyBorder="1" applyAlignment="1">
      <alignment horizontal="center"/>
    </xf>
    <xf numFmtId="0" fontId="34" fillId="0" borderId="22" xfId="117" applyFont="1" applyBorder="1" applyAlignment="1">
      <alignment horizontal="center"/>
    </xf>
    <xf numFmtId="0" fontId="31" fillId="0" borderId="24" xfId="117" applyFont="1" applyBorder="1"/>
    <xf numFmtId="0" fontId="36" fillId="0" borderId="24" xfId="117" applyFont="1" applyBorder="1"/>
    <xf numFmtId="0" fontId="36" fillId="0" borderId="25" xfId="117" applyFont="1" applyBorder="1"/>
    <xf numFmtId="0" fontId="36" fillId="0" borderId="27" xfId="117" applyFont="1" applyBorder="1"/>
    <xf numFmtId="0" fontId="36" fillId="0" borderId="28" xfId="117" applyFont="1" applyBorder="1"/>
    <xf numFmtId="0" fontId="6" fillId="0" borderId="74" xfId="115" applyBorder="1"/>
    <xf numFmtId="0" fontId="6" fillId="0" borderId="53" xfId="115" applyBorder="1"/>
    <xf numFmtId="0" fontId="6" fillId="0" borderId="0" xfId="115"/>
    <xf numFmtId="0" fontId="6" fillId="0" borderId="35" xfId="115" applyBorder="1"/>
    <xf numFmtId="0" fontId="6" fillId="0" borderId="10" xfId="115" applyBorder="1"/>
    <xf numFmtId="0" fontId="72" fillId="0" borderId="10" xfId="115" applyFont="1" applyBorder="1"/>
    <xf numFmtId="0" fontId="6" fillId="0" borderId="58" xfId="115" applyBorder="1"/>
    <xf numFmtId="0" fontId="72" fillId="0" borderId="46" xfId="115" applyFont="1" applyBorder="1"/>
    <xf numFmtId="0" fontId="72" fillId="0" borderId="62" xfId="115" applyFont="1" applyBorder="1"/>
    <xf numFmtId="2" fontId="6" fillId="0" borderId="10" xfId="115" applyNumberFormat="1" applyBorder="1"/>
    <xf numFmtId="0" fontId="72" fillId="0" borderId="35" xfId="115" applyFont="1" applyBorder="1"/>
    <xf numFmtId="0" fontId="6" fillId="40" borderId="10" xfId="115" applyFill="1" applyBorder="1"/>
    <xf numFmtId="17" fontId="6" fillId="0" borderId="0" xfId="115" applyNumberFormat="1"/>
    <xf numFmtId="165" fontId="6" fillId="0" borderId="0" xfId="115" applyNumberFormat="1"/>
    <xf numFmtId="0" fontId="72" fillId="0" borderId="58" xfId="115" applyFont="1" applyBorder="1"/>
    <xf numFmtId="165" fontId="72" fillId="0" borderId="0" xfId="115" applyNumberFormat="1" applyFont="1"/>
    <xf numFmtId="2" fontId="6" fillId="0" borderId="0" xfId="115" applyNumberFormat="1"/>
    <xf numFmtId="2" fontId="72" fillId="0" borderId="10" xfId="115" applyNumberFormat="1" applyFont="1" applyBorder="1"/>
    <xf numFmtId="9" fontId="6" fillId="0" borderId="10" xfId="115" applyNumberFormat="1" applyBorder="1"/>
    <xf numFmtId="0" fontId="6" fillId="0" borderId="36" xfId="115" applyBorder="1"/>
    <xf numFmtId="0" fontId="6" fillId="0" borderId="37" xfId="115" applyBorder="1"/>
    <xf numFmtId="2" fontId="6" fillId="0" borderId="37" xfId="115" applyNumberFormat="1" applyBorder="1"/>
    <xf numFmtId="0" fontId="6" fillId="0" borderId="70" xfId="115" applyBorder="1"/>
    <xf numFmtId="2" fontId="6" fillId="40" borderId="37" xfId="115" applyNumberFormat="1" applyFill="1" applyBorder="1"/>
    <xf numFmtId="0" fontId="6" fillId="0" borderId="47" xfId="115" applyBorder="1"/>
    <xf numFmtId="0" fontId="6" fillId="0" borderId="48" xfId="115" applyBorder="1"/>
    <xf numFmtId="2" fontId="72" fillId="0" borderId="48" xfId="115" applyNumberFormat="1" applyFont="1" applyBorder="1"/>
    <xf numFmtId="0" fontId="6" fillId="0" borderId="63" xfId="115" applyBorder="1"/>
    <xf numFmtId="0" fontId="6" fillId="0" borderId="78" xfId="115" applyBorder="1"/>
    <xf numFmtId="0" fontId="6" fillId="0" borderId="57" xfId="115" applyBorder="1"/>
    <xf numFmtId="0" fontId="6" fillId="0" borderId="75" xfId="115" applyBorder="1" applyAlignment="1">
      <alignment wrapText="1"/>
    </xf>
    <xf numFmtId="0" fontId="6" fillId="0" borderId="76" xfId="115" applyBorder="1" applyAlignment="1">
      <alignment wrapText="1"/>
    </xf>
    <xf numFmtId="0" fontId="6" fillId="0" borderId="56" xfId="115" applyBorder="1" applyAlignment="1">
      <alignment wrapText="1"/>
    </xf>
    <xf numFmtId="0" fontId="6" fillId="0" borderId="77" xfId="115" applyBorder="1" applyAlignment="1">
      <alignment wrapText="1"/>
    </xf>
    <xf numFmtId="0" fontId="6" fillId="40" borderId="0" xfId="115" applyFill="1"/>
    <xf numFmtId="2" fontId="6" fillId="40" borderId="10" xfId="115" applyNumberFormat="1" applyFill="1" applyBorder="1"/>
    <xf numFmtId="0" fontId="6" fillId="0" borderId="10" xfId="115" applyBorder="1" applyAlignment="1">
      <alignment wrapText="1"/>
    </xf>
    <xf numFmtId="165" fontId="0" fillId="0" borderId="0" xfId="183" applyFont="1"/>
    <xf numFmtId="0" fontId="75" fillId="0" borderId="35" xfId="115" applyFont="1" applyBorder="1"/>
    <xf numFmtId="0" fontId="75" fillId="0" borderId="10" xfId="115" applyFont="1" applyBorder="1"/>
    <xf numFmtId="0" fontId="76" fillId="0" borderId="0" xfId="201" applyFont="1" applyAlignment="1">
      <alignment horizontal="center"/>
    </xf>
    <xf numFmtId="0" fontId="4" fillId="0" borderId="0" xfId="201"/>
    <xf numFmtId="0" fontId="77" fillId="0" borderId="0" xfId="201" applyFont="1" applyAlignment="1">
      <alignment horizontal="center"/>
    </xf>
    <xf numFmtId="0" fontId="78" fillId="41" borderId="0" xfId="201" applyFont="1" applyFill="1" applyAlignment="1">
      <alignment horizontal="center"/>
    </xf>
    <xf numFmtId="0" fontId="79" fillId="0" borderId="79" xfId="199" applyFont="1" applyBorder="1" applyAlignment="1">
      <alignment vertical="top"/>
    </xf>
    <xf numFmtId="0" fontId="79" fillId="0" borderId="0" xfId="199" applyFont="1" applyAlignment="1">
      <alignment vertical="top"/>
    </xf>
    <xf numFmtId="0" fontId="79" fillId="0" borderId="79" xfId="199" applyFont="1" applyBorder="1" applyAlignment="1">
      <alignment horizontal="left" vertical="top"/>
    </xf>
    <xf numFmtId="0" fontId="79" fillId="0" borderId="0" xfId="199" applyFont="1" applyAlignment="1">
      <alignment horizontal="left" vertical="top"/>
    </xf>
    <xf numFmtId="0" fontId="80" fillId="0" borderId="0" xfId="201" applyFont="1"/>
    <xf numFmtId="0" fontId="81" fillId="0" borderId="0" xfId="201" applyFont="1" applyAlignment="1">
      <alignment vertical="center"/>
    </xf>
    <xf numFmtId="0" fontId="81" fillId="0" borderId="0" xfId="201" applyFont="1" applyAlignment="1">
      <alignment horizontal="center" vertical="center"/>
    </xf>
    <xf numFmtId="0" fontId="4" fillId="0" borderId="10" xfId="201" applyBorder="1"/>
    <xf numFmtId="0" fontId="79" fillId="0" borderId="10" xfId="201" applyFont="1" applyBorder="1" applyAlignment="1">
      <alignment vertical="center"/>
    </xf>
    <xf numFmtId="0" fontId="79" fillId="0" borderId="10" xfId="201" applyFont="1" applyBorder="1" applyAlignment="1">
      <alignment horizontal="center" vertical="center"/>
    </xf>
    <xf numFmtId="0" fontId="79" fillId="0" borderId="0" xfId="201" applyFont="1" applyAlignment="1">
      <alignment vertical="center"/>
    </xf>
    <xf numFmtId="0" fontId="82" fillId="0" borderId="10" xfId="201" applyFont="1" applyBorder="1" applyAlignment="1">
      <alignment vertical="center" wrapText="1"/>
    </xf>
    <xf numFmtId="0" fontId="82" fillId="0" borderId="10" xfId="201" applyFont="1" applyBorder="1" applyAlignment="1">
      <alignment horizontal="center" vertical="center" wrapText="1"/>
    </xf>
    <xf numFmtId="0" fontId="82" fillId="0" borderId="0" xfId="201" applyFont="1" applyAlignment="1">
      <alignment vertical="center" wrapText="1"/>
    </xf>
    <xf numFmtId="0" fontId="82" fillId="0" borderId="0" xfId="201" applyFont="1" applyAlignment="1">
      <alignment horizontal="left" vertical="center"/>
    </xf>
    <xf numFmtId="0" fontId="82" fillId="0" borderId="10" xfId="201" applyFont="1" applyBorder="1" applyAlignment="1">
      <alignment horizontal="center" vertical="center"/>
    </xf>
    <xf numFmtId="0" fontId="82" fillId="0" borderId="62" xfId="201" applyFont="1" applyBorder="1" applyAlignment="1">
      <alignment horizontal="center" vertical="center"/>
    </xf>
    <xf numFmtId="0" fontId="71" fillId="0" borderId="0" xfId="201" applyFont="1"/>
    <xf numFmtId="0" fontId="82" fillId="0" borderId="10" xfId="201" applyFont="1" applyBorder="1" applyAlignment="1">
      <alignment vertical="center"/>
    </xf>
    <xf numFmtId="0" fontId="71" fillId="40" borderId="10" xfId="201" applyFont="1" applyFill="1" applyBorder="1"/>
    <xf numFmtId="2" fontId="71" fillId="40" borderId="10" xfId="201" applyNumberFormat="1" applyFont="1" applyFill="1" applyBorder="1"/>
    <xf numFmtId="0" fontId="83" fillId="0" borderId="10" xfId="201" applyFont="1" applyBorder="1" applyAlignment="1">
      <alignment vertical="center" wrapText="1"/>
    </xf>
    <xf numFmtId="2" fontId="83" fillId="0" borderId="10" xfId="201" applyNumberFormat="1" applyFont="1" applyBorder="1" applyAlignment="1">
      <alignment horizontal="center" vertical="center" wrapText="1"/>
    </xf>
    <xf numFmtId="2" fontId="83" fillId="0" borderId="10" xfId="201" applyNumberFormat="1" applyFont="1" applyBorder="1" applyAlignment="1">
      <alignment vertical="center"/>
    </xf>
    <xf numFmtId="2" fontId="83" fillId="0" borderId="10" xfId="201" applyNumberFormat="1" applyFont="1" applyBorder="1" applyAlignment="1">
      <alignment horizontal="right" vertical="center"/>
    </xf>
    <xf numFmtId="2" fontId="83" fillId="0" borderId="0" xfId="201" applyNumberFormat="1" applyFont="1" applyAlignment="1">
      <alignment horizontal="center" vertical="center"/>
    </xf>
    <xf numFmtId="2" fontId="4" fillId="0" borderId="0" xfId="201" applyNumberFormat="1"/>
    <xf numFmtId="2" fontId="4" fillId="0" borderId="10" xfId="201" applyNumberFormat="1" applyBorder="1"/>
    <xf numFmtId="2" fontId="82" fillId="0" borderId="10" xfId="201" applyNumberFormat="1" applyFont="1" applyBorder="1" applyAlignment="1">
      <alignment horizontal="center" vertical="center" wrapText="1"/>
    </xf>
    <xf numFmtId="2" fontId="82" fillId="0" borderId="10" xfId="201" applyNumberFormat="1" applyFont="1" applyBorder="1" applyAlignment="1">
      <alignment vertical="center" wrapText="1"/>
    </xf>
    <xf numFmtId="2" fontId="82" fillId="0" borderId="10" xfId="201" applyNumberFormat="1" applyFont="1" applyBorder="1" applyAlignment="1">
      <alignment horizontal="right" vertical="center" wrapText="1"/>
    </xf>
    <xf numFmtId="2" fontId="82" fillId="0" borderId="62" xfId="201" applyNumberFormat="1" applyFont="1" applyBorder="1" applyAlignment="1">
      <alignment horizontal="right" vertical="center" wrapText="1"/>
    </xf>
    <xf numFmtId="2" fontId="71" fillId="0" borderId="10" xfId="201" applyNumberFormat="1" applyFont="1" applyBorder="1"/>
    <xf numFmtId="0" fontId="4" fillId="0" borderId="10" xfId="201" applyBorder="1" applyAlignment="1">
      <alignment horizontal="right"/>
    </xf>
    <xf numFmtId="2" fontId="83" fillId="42" borderId="10" xfId="201" applyNumberFormat="1" applyFont="1" applyFill="1" applyBorder="1" applyAlignment="1">
      <alignment horizontal="right" vertical="center"/>
    </xf>
    <xf numFmtId="2" fontId="82" fillId="0" borderId="10" xfId="201" applyNumberFormat="1" applyFont="1" applyBorder="1" applyAlignment="1">
      <alignment vertical="center"/>
    </xf>
    <xf numFmtId="2" fontId="82" fillId="0" borderId="10" xfId="201" applyNumberFormat="1" applyFont="1" applyBorder="1" applyAlignment="1">
      <alignment horizontal="right" vertical="center"/>
    </xf>
    <xf numFmtId="2" fontId="83" fillId="0" borderId="10" xfId="201" applyNumberFormat="1" applyFont="1" applyBorder="1" applyAlignment="1">
      <alignment horizontal="right" vertical="center" wrapText="1"/>
    </xf>
    <xf numFmtId="0" fontId="84" fillId="0" borderId="0" xfId="202" applyNumberFormat="1" applyFont="1" applyFill="1" applyBorder="1" applyAlignment="1" applyProtection="1">
      <alignment vertical="top"/>
    </xf>
    <xf numFmtId="0" fontId="6" fillId="0" borderId="0" xfId="202" applyNumberFormat="1" applyFont="1" applyFill="1" applyBorder="1" applyAlignment="1" applyProtection="1">
      <alignment vertical="top"/>
    </xf>
    <xf numFmtId="2" fontId="6" fillId="0" borderId="0" xfId="202" applyNumberFormat="1" applyFont="1" applyFill="1" applyBorder="1" applyAlignment="1" applyProtection="1">
      <alignment vertical="top"/>
    </xf>
    <xf numFmtId="2" fontId="0" fillId="0" borderId="0" xfId="0" applyNumberFormat="1"/>
    <xf numFmtId="0" fontId="87" fillId="0" borderId="37" xfId="0" applyFont="1" applyBorder="1" applyAlignment="1">
      <alignment horizontal="center" vertical="center" wrapText="1"/>
    </xf>
    <xf numFmtId="0" fontId="0" fillId="0" borderId="62" xfId="0" applyBorder="1"/>
    <xf numFmtId="0" fontId="0" fillId="0" borderId="46" xfId="0" applyBorder="1"/>
    <xf numFmtId="0" fontId="87" fillId="0" borderId="55" xfId="0" applyFont="1" applyBorder="1" applyAlignment="1">
      <alignment horizontal="center" vertical="center" wrapText="1"/>
    </xf>
    <xf numFmtId="0" fontId="91" fillId="43" borderId="10" xfId="0" applyFont="1" applyFill="1" applyBorder="1"/>
    <xf numFmtId="0" fontId="92" fillId="43" borderId="10" xfId="0" applyFont="1" applyFill="1" applyBorder="1" applyAlignment="1">
      <alignment horizontal="center" wrapText="1"/>
    </xf>
    <xf numFmtId="0" fontId="87" fillId="43" borderId="10" xfId="0" applyFont="1" applyFill="1" applyBorder="1" applyAlignment="1">
      <alignment horizontal="center"/>
    </xf>
    <xf numFmtId="0" fontId="93" fillId="0" borderId="10" xfId="0" applyFont="1" applyBorder="1"/>
    <xf numFmtId="0" fontId="87" fillId="43" borderId="10" xfId="0" applyFont="1" applyFill="1" applyBorder="1" applyAlignment="1">
      <alignment horizontal="center" wrapText="1"/>
    </xf>
    <xf numFmtId="2" fontId="87" fillId="43" borderId="10" xfId="0" applyNumberFormat="1" applyFont="1" applyFill="1" applyBorder="1" applyAlignment="1">
      <alignment horizontal="center" wrapText="1"/>
    </xf>
    <xf numFmtId="0" fontId="91" fillId="43" borderId="37" xfId="0" applyFont="1" applyFill="1" applyBorder="1"/>
    <xf numFmtId="0" fontId="87" fillId="0" borderId="37" xfId="0" applyFont="1" applyBorder="1" applyAlignment="1">
      <alignment horizontal="center"/>
    </xf>
    <xf numFmtId="0" fontId="93" fillId="0" borderId="37" xfId="0" applyFont="1" applyBorder="1"/>
    <xf numFmtId="0" fontId="87" fillId="0" borderId="37" xfId="0" applyFont="1" applyBorder="1" applyAlignment="1">
      <alignment horizontal="center" wrapText="1"/>
    </xf>
    <xf numFmtId="2" fontId="87" fillId="0" borderId="37" xfId="0" applyNumberFormat="1" applyFont="1" applyBorder="1" applyAlignment="1">
      <alignment horizontal="center" wrapText="1"/>
    </xf>
    <xf numFmtId="0" fontId="87" fillId="43" borderId="37" xfId="0" applyFont="1" applyFill="1" applyBorder="1" applyAlignment="1">
      <alignment horizontal="center" wrapText="1"/>
    </xf>
    <xf numFmtId="0" fontId="0" fillId="0" borderId="37" xfId="0" applyBorder="1"/>
    <xf numFmtId="17" fontId="92" fillId="42" borderId="33" xfId="0" applyNumberFormat="1" applyFont="1" applyFill="1" applyBorder="1" applyAlignment="1">
      <alignment horizontal="right"/>
    </xf>
    <xf numFmtId="2" fontId="92" fillId="42" borderId="33" xfId="0" applyNumberFormat="1" applyFont="1" applyFill="1" applyBorder="1" applyAlignment="1">
      <alignment horizontal="right"/>
    </xf>
    <xf numFmtId="0" fontId="94" fillId="42" borderId="33" xfId="0" applyFont="1" applyFill="1" applyBorder="1"/>
    <xf numFmtId="2" fontId="92" fillId="42" borderId="34" xfId="0" applyNumberFormat="1" applyFont="1" applyFill="1" applyBorder="1" applyAlignment="1">
      <alignment horizontal="right"/>
    </xf>
    <xf numFmtId="0" fontId="22" fillId="0" borderId="45" xfId="0" applyFont="1" applyBorder="1"/>
    <xf numFmtId="17" fontId="92" fillId="42" borderId="10" xfId="0" applyNumberFormat="1" applyFont="1" applyFill="1" applyBorder="1" applyAlignment="1">
      <alignment horizontal="right"/>
    </xf>
    <xf numFmtId="2" fontId="92" fillId="42" borderId="10" xfId="0" applyNumberFormat="1" applyFont="1" applyFill="1" applyBorder="1" applyAlignment="1">
      <alignment horizontal="right"/>
    </xf>
    <xf numFmtId="2" fontId="94" fillId="42" borderId="10" xfId="0" applyNumberFormat="1" applyFont="1" applyFill="1" applyBorder="1"/>
    <xf numFmtId="2" fontId="92" fillId="42" borderId="58" xfId="0" applyNumberFormat="1" applyFont="1" applyFill="1" applyBorder="1" applyAlignment="1">
      <alignment horizontal="right"/>
    </xf>
    <xf numFmtId="2" fontId="22" fillId="0" borderId="28" xfId="0" applyNumberFormat="1" applyFont="1" applyBorder="1"/>
    <xf numFmtId="0" fontId="95" fillId="0" borderId="0" xfId="0" applyFont="1"/>
    <xf numFmtId="0" fontId="92" fillId="42" borderId="10" xfId="0" applyFont="1" applyFill="1" applyBorder="1" applyAlignment="1">
      <alignment horizontal="right"/>
    </xf>
    <xf numFmtId="2" fontId="87" fillId="42" borderId="10" xfId="0" applyNumberFormat="1" applyFont="1" applyFill="1" applyBorder="1" applyAlignment="1">
      <alignment horizontal="right"/>
    </xf>
    <xf numFmtId="2" fontId="87" fillId="42" borderId="33" xfId="0" applyNumberFormat="1" applyFont="1" applyFill="1" applyBorder="1" applyAlignment="1">
      <alignment horizontal="right"/>
    </xf>
    <xf numFmtId="2" fontId="87" fillId="42" borderId="34" xfId="0" applyNumberFormat="1" applyFont="1" applyFill="1" applyBorder="1" applyAlignment="1">
      <alignment horizontal="right"/>
    </xf>
    <xf numFmtId="0" fontId="96" fillId="0" borderId="80" xfId="0" applyFont="1" applyBorder="1"/>
    <xf numFmtId="0" fontId="94" fillId="42" borderId="10" xfId="0" applyFont="1" applyFill="1" applyBorder="1"/>
    <xf numFmtId="0" fontId="22" fillId="0" borderId="62" xfId="0" applyFont="1" applyBorder="1"/>
    <xf numFmtId="2" fontId="22" fillId="0" borderId="62" xfId="0" applyNumberFormat="1" applyFont="1" applyBorder="1"/>
    <xf numFmtId="0" fontId="96" fillId="0" borderId="62" xfId="0" applyFont="1" applyBorder="1"/>
    <xf numFmtId="2" fontId="95" fillId="0" borderId="0" xfId="0" applyNumberFormat="1" applyFont="1"/>
    <xf numFmtId="0" fontId="87" fillId="42" borderId="10" xfId="0" applyFont="1" applyFill="1" applyBorder="1" applyAlignment="1">
      <alignment horizontal="right"/>
    </xf>
    <xf numFmtId="0" fontId="97" fillId="42" borderId="10" xfId="0" applyFont="1" applyFill="1" applyBorder="1"/>
    <xf numFmtId="2" fontId="87" fillId="42" borderId="58" xfId="0" applyNumberFormat="1" applyFont="1" applyFill="1" applyBorder="1" applyAlignment="1">
      <alignment horizontal="right"/>
    </xf>
    <xf numFmtId="0" fontId="72" fillId="0" borderId="0" xfId="0" applyFont="1"/>
    <xf numFmtId="2" fontId="98" fillId="43" borderId="62" xfId="0" applyNumberFormat="1" applyFont="1" applyFill="1" applyBorder="1" applyAlignment="1">
      <alignment horizontal="right"/>
    </xf>
    <xf numFmtId="0" fontId="91" fillId="43" borderId="47" xfId="0" applyFont="1" applyFill="1" applyBorder="1" applyAlignment="1">
      <alignment horizontal="center"/>
    </xf>
    <xf numFmtId="0" fontId="87" fillId="42" borderId="48" xfId="0" applyFont="1" applyFill="1" applyBorder="1" applyAlignment="1">
      <alignment horizontal="right"/>
    </xf>
    <xf numFmtId="2" fontId="87" fillId="42" borderId="48" xfId="0" applyNumberFormat="1" applyFont="1" applyFill="1" applyBorder="1" applyAlignment="1">
      <alignment horizontal="right"/>
    </xf>
    <xf numFmtId="2" fontId="87" fillId="42" borderId="63" xfId="0" applyNumberFormat="1" applyFont="1" applyFill="1" applyBorder="1" applyAlignment="1">
      <alignment horizontal="right"/>
    </xf>
    <xf numFmtId="0" fontId="91" fillId="43" borderId="55" xfId="0" applyFont="1" applyFill="1" applyBorder="1" applyAlignment="1">
      <alignment horizontal="center"/>
    </xf>
    <xf numFmtId="0" fontId="86" fillId="43" borderId="56" xfId="0" applyFont="1" applyFill="1" applyBorder="1" applyAlignment="1">
      <alignment horizontal="right"/>
    </xf>
    <xf numFmtId="2" fontId="98" fillId="43" borderId="23" xfId="0" applyNumberFormat="1" applyFont="1" applyFill="1" applyBorder="1" applyAlignment="1">
      <alignment horizontal="right"/>
    </xf>
    <xf numFmtId="2" fontId="98" fillId="0" borderId="77" xfId="0" applyNumberFormat="1" applyFont="1" applyBorder="1" applyAlignment="1">
      <alignment horizontal="right"/>
    </xf>
    <xf numFmtId="2" fontId="98" fillId="43" borderId="0" xfId="0" applyNumberFormat="1" applyFont="1" applyFill="1" applyAlignment="1">
      <alignment horizontal="right"/>
    </xf>
    <xf numFmtId="0" fontId="72" fillId="0" borderId="10" xfId="0" applyFont="1" applyBorder="1"/>
    <xf numFmtId="0" fontId="0" fillId="0" borderId="0" xfId="0" applyAlignment="1">
      <alignment horizontal="right"/>
    </xf>
    <xf numFmtId="2" fontId="0" fillId="0" borderId="0" xfId="0" applyNumberFormat="1" applyAlignment="1">
      <alignment horizontal="right"/>
    </xf>
    <xf numFmtId="192" fontId="0" fillId="0" borderId="0" xfId="0" applyNumberFormat="1" applyAlignment="1">
      <alignment horizontal="right"/>
    </xf>
    <xf numFmtId="0" fontId="100" fillId="0" borderId="10" xfId="0" applyFont="1" applyBorder="1" applyAlignment="1">
      <alignment horizontal="center" wrapText="1"/>
    </xf>
    <xf numFmtId="0" fontId="3" fillId="0" borderId="0" xfId="203"/>
    <xf numFmtId="0" fontId="62" fillId="0" borderId="0" xfId="203" applyFont="1" applyAlignment="1">
      <alignment horizontal="right" wrapText="1"/>
    </xf>
    <xf numFmtId="9" fontId="6" fillId="40" borderId="10" xfId="115" applyNumberFormat="1" applyFill="1" applyBorder="1"/>
    <xf numFmtId="0" fontId="59" fillId="0" borderId="62" xfId="0" applyFont="1" applyBorder="1"/>
    <xf numFmtId="0" fontId="58" fillId="0" borderId="62" xfId="0" applyFont="1" applyBorder="1"/>
    <xf numFmtId="0" fontId="59" fillId="0" borderId="10" xfId="0" applyFont="1" applyBorder="1"/>
    <xf numFmtId="0" fontId="2" fillId="0" borderId="0" xfId="203" applyFont="1"/>
    <xf numFmtId="0" fontId="106" fillId="42" borderId="0" xfId="117" applyFont="1" applyFill="1" applyAlignment="1">
      <alignment horizontal="left"/>
    </xf>
    <xf numFmtId="2" fontId="106" fillId="42" borderId="0" xfId="117" applyNumberFormat="1" applyFont="1" applyFill="1" applyAlignment="1">
      <alignment horizontal="left"/>
    </xf>
    <xf numFmtId="0" fontId="105" fillId="0" borderId="0" xfId="0" applyFont="1" applyAlignment="1">
      <alignment wrapText="1"/>
    </xf>
    <xf numFmtId="2" fontId="58" fillId="0" borderId="58" xfId="0" applyNumberFormat="1" applyFont="1" applyBorder="1"/>
    <xf numFmtId="2" fontId="58" fillId="0" borderId="63" xfId="0" applyNumberFormat="1" applyFont="1" applyBorder="1"/>
    <xf numFmtId="1" fontId="58" fillId="0" borderId="36" xfId="0" applyNumberFormat="1" applyFont="1" applyBorder="1"/>
    <xf numFmtId="1" fontId="58" fillId="0" borderId="70" xfId="0" applyNumberFormat="1" applyFont="1" applyBorder="1"/>
    <xf numFmtId="2" fontId="58" fillId="0" borderId="62" xfId="0" applyNumberFormat="1" applyFont="1" applyBorder="1"/>
    <xf numFmtId="0" fontId="107" fillId="0" borderId="0" xfId="0" applyFont="1" applyAlignment="1">
      <alignment horizontal="left" vertical="center" wrapText="1"/>
    </xf>
    <xf numFmtId="0" fontId="107" fillId="0" borderId="0" xfId="0" applyFont="1" applyAlignment="1">
      <alignment horizontal="right" vertical="center" wrapText="1"/>
    </xf>
    <xf numFmtId="0" fontId="101" fillId="0" borderId="0" xfId="203" applyFont="1" applyAlignment="1">
      <alignment wrapText="1"/>
    </xf>
    <xf numFmtId="0" fontId="104" fillId="0" borderId="0" xfId="0" applyFont="1" applyAlignment="1">
      <alignment horizontal="center" vertical="center" wrapText="1"/>
    </xf>
    <xf numFmtId="0" fontId="104" fillId="0" borderId="0" xfId="0" applyFont="1" applyAlignment="1">
      <alignment horizontal="right" vertical="center" wrapText="1"/>
    </xf>
    <xf numFmtId="0" fontId="104" fillId="0" borderId="0" xfId="0" applyFont="1" applyAlignment="1">
      <alignment horizontal="left" vertical="center" wrapText="1"/>
    </xf>
    <xf numFmtId="0" fontId="104" fillId="0" borderId="0" xfId="0" applyFont="1" applyAlignment="1">
      <alignment vertical="center" wrapText="1"/>
    </xf>
    <xf numFmtId="165" fontId="104" fillId="0" borderId="0" xfId="175" applyFont="1" applyAlignment="1">
      <alignment horizontal="right" vertical="center" wrapText="1"/>
    </xf>
    <xf numFmtId="0" fontId="1" fillId="0" borderId="0" xfId="203" applyFont="1"/>
    <xf numFmtId="165" fontId="3" fillId="0" borderId="0" xfId="203" applyNumberFormat="1"/>
    <xf numFmtId="165" fontId="3" fillId="0" borderId="0" xfId="175" applyFont="1"/>
    <xf numFmtId="165" fontId="59" fillId="0" borderId="58" xfId="175" applyFont="1" applyFill="1" applyBorder="1"/>
    <xf numFmtId="165" fontId="58" fillId="0" borderId="58" xfId="175" applyFont="1" applyFill="1" applyBorder="1"/>
    <xf numFmtId="165" fontId="59" fillId="0" borderId="63" xfId="175" applyFont="1" applyFill="1" applyBorder="1"/>
    <xf numFmtId="2" fontId="37" fillId="0" borderId="0" xfId="117" applyNumberFormat="1" applyFont="1"/>
    <xf numFmtId="0" fontId="108" fillId="0" borderId="0" xfId="0" applyFont="1" applyAlignment="1">
      <alignment horizontal="center" vertical="center" wrapText="1"/>
    </xf>
    <xf numFmtId="0" fontId="108" fillId="0" borderId="0" xfId="0" applyFont="1" applyAlignment="1">
      <alignment horizontal="left" vertical="center" wrapText="1"/>
    </xf>
    <xf numFmtId="0" fontId="108" fillId="0" borderId="0" xfId="0" applyFont="1" applyAlignment="1">
      <alignment horizontal="right" vertical="center" wrapText="1"/>
    </xf>
    <xf numFmtId="0" fontId="103" fillId="0" borderId="0" xfId="0" applyFont="1" applyAlignment="1">
      <alignment vertical="center" wrapText="1"/>
    </xf>
    <xf numFmtId="0" fontId="102" fillId="0" borderId="0" xfId="0" applyFont="1" applyAlignment="1">
      <alignment vertical="center" wrapText="1"/>
    </xf>
    <xf numFmtId="0" fontId="109" fillId="0" borderId="0" xfId="0" applyFont="1" applyAlignment="1">
      <alignment horizontal="center" vertical="center" wrapText="1"/>
    </xf>
    <xf numFmtId="0" fontId="105" fillId="0" borderId="0" xfId="0" applyFont="1" applyAlignment="1">
      <alignment vertical="center" wrapText="1"/>
    </xf>
    <xf numFmtId="0" fontId="31" fillId="0" borderId="27" xfId="117" applyFont="1" applyBorder="1" applyAlignment="1">
      <alignment horizontal="left"/>
    </xf>
    <xf numFmtId="0" fontId="31" fillId="0" borderId="28" xfId="117" applyFont="1" applyBorder="1" applyAlignment="1">
      <alignment horizontal="left"/>
    </xf>
    <xf numFmtId="165" fontId="62" fillId="0" borderId="0" xfId="175" applyFont="1"/>
    <xf numFmtId="1" fontId="30" fillId="0" borderId="0" xfId="117" applyNumberFormat="1" applyFont="1"/>
    <xf numFmtId="1" fontId="58" fillId="0" borderId="50" xfId="0" applyNumberFormat="1" applyFont="1" applyBorder="1"/>
    <xf numFmtId="0" fontId="110" fillId="0" borderId="5" xfId="117" applyFont="1" applyBorder="1" applyAlignment="1">
      <alignment wrapText="1"/>
    </xf>
    <xf numFmtId="0" fontId="110" fillId="0" borderId="20" xfId="117" applyFont="1" applyBorder="1" applyAlignment="1">
      <alignment wrapText="1"/>
    </xf>
    <xf numFmtId="0" fontId="84" fillId="0" borderId="0" xfId="205" applyNumberFormat="1" applyFont="1" applyFill="1" applyBorder="1" applyAlignment="1" applyProtection="1">
      <alignment vertical="center"/>
    </xf>
    <xf numFmtId="0" fontId="6" fillId="0" borderId="0" xfId="205" applyNumberFormat="1" applyFont="1" applyFill="1" applyBorder="1" applyAlignment="1" applyProtection="1">
      <alignment vertical="center"/>
    </xf>
    <xf numFmtId="0" fontId="0" fillId="0" borderId="0" xfId="0" applyAlignment="1">
      <alignment vertical="center"/>
    </xf>
    <xf numFmtId="0" fontId="6" fillId="0" borderId="0" xfId="206" applyNumberFormat="1" applyFont="1" applyFill="1" applyBorder="1" applyAlignment="1" applyProtection="1">
      <alignment vertical="center"/>
    </xf>
    <xf numFmtId="0" fontId="112" fillId="0" borderId="0" xfId="205" applyNumberFormat="1" applyFont="1" applyFill="1" applyBorder="1" applyAlignment="1" applyProtection="1">
      <alignment vertical="center"/>
    </xf>
    <xf numFmtId="0" fontId="6" fillId="0" borderId="0" xfId="207" applyNumberFormat="1" applyFont="1" applyFill="1" applyBorder="1" applyAlignment="1" applyProtection="1">
      <alignment vertical="center"/>
    </xf>
    <xf numFmtId="0" fontId="72" fillId="0" borderId="0" xfId="205" applyNumberFormat="1" applyFont="1" applyFill="1" applyBorder="1" applyAlignment="1" applyProtection="1">
      <alignment vertical="center"/>
    </xf>
    <xf numFmtId="0" fontId="113" fillId="0" borderId="0" xfId="206" applyNumberFormat="1" applyFont="1" applyFill="1" applyBorder="1" applyAlignment="1" applyProtection="1">
      <alignment vertical="center"/>
    </xf>
    <xf numFmtId="0" fontId="72" fillId="0" borderId="81" xfId="206" applyNumberFormat="1" applyFont="1" applyFill="1" applyBorder="1" applyAlignment="1" applyProtection="1">
      <alignment vertical="center"/>
    </xf>
    <xf numFmtId="0" fontId="6" fillId="0" borderId="74" xfId="206" applyNumberFormat="1" applyFont="1" applyFill="1" applyBorder="1" applyAlignment="1" applyProtection="1">
      <alignment vertical="center"/>
    </xf>
    <xf numFmtId="0" fontId="6" fillId="0" borderId="53" xfId="206" applyNumberFormat="1" applyFont="1" applyFill="1" applyBorder="1" applyAlignment="1" applyProtection="1">
      <alignment vertical="center"/>
    </xf>
    <xf numFmtId="0" fontId="114" fillId="0" borderId="26" xfId="206" applyNumberFormat="1" applyFont="1" applyFill="1" applyBorder="1" applyAlignment="1" applyProtection="1">
      <alignment vertical="center"/>
    </xf>
    <xf numFmtId="0" fontId="114" fillId="0" borderId="6" xfId="206" applyNumberFormat="1" applyFont="1" applyFill="1" applyBorder="1" applyAlignment="1" applyProtection="1">
      <alignment vertical="center"/>
    </xf>
    <xf numFmtId="0" fontId="114" fillId="0" borderId="62" xfId="206" applyNumberFormat="1" applyFont="1" applyFill="1" applyBorder="1" applyAlignment="1" applyProtection="1">
      <alignment vertical="center"/>
    </xf>
    <xf numFmtId="0" fontId="6" fillId="0" borderId="10" xfId="206" applyNumberFormat="1" applyFont="1" applyFill="1" applyBorder="1" applyAlignment="1" applyProtection="1">
      <alignment vertical="center"/>
    </xf>
    <xf numFmtId="0" fontId="6" fillId="0" borderId="10" xfId="206" applyNumberFormat="1" applyFont="1" applyFill="1" applyBorder="1" applyAlignment="1" applyProtection="1">
      <alignment horizontal="left" vertical="center"/>
    </xf>
    <xf numFmtId="0" fontId="6" fillId="0" borderId="58" xfId="206" applyNumberFormat="1" applyFont="1" applyFill="1" applyBorder="1" applyAlignment="1" applyProtection="1">
      <alignment horizontal="left" vertical="center"/>
    </xf>
    <xf numFmtId="0" fontId="6" fillId="0" borderId="35" xfId="206" applyNumberFormat="1" applyFont="1" applyFill="1" applyBorder="1" applyAlignment="1" applyProtection="1">
      <alignment horizontal="left" vertical="center"/>
    </xf>
    <xf numFmtId="0" fontId="115" fillId="0" borderId="10" xfId="206" applyNumberFormat="1" applyFont="1" applyFill="1" applyBorder="1" applyAlignment="1" applyProtection="1">
      <alignment horizontal="center" vertical="center" wrapText="1"/>
    </xf>
    <xf numFmtId="0" fontId="93" fillId="0" borderId="10" xfId="206" applyNumberFormat="1" applyFont="1" applyFill="1" applyBorder="1" applyAlignment="1" applyProtection="1">
      <alignment horizontal="center" vertical="center" wrapText="1"/>
    </xf>
    <xf numFmtId="0" fontId="93" fillId="0" borderId="58" xfId="206" applyNumberFormat="1" applyFont="1" applyFill="1" applyBorder="1" applyAlignment="1" applyProtection="1">
      <alignment horizontal="left" vertical="center" wrapText="1"/>
    </xf>
    <xf numFmtId="0" fontId="6" fillId="44" borderId="35" xfId="206" applyNumberFormat="1" applyFont="1" applyFill="1" applyBorder="1" applyAlignment="1" applyProtection="1">
      <alignment horizontal="left" vertical="center"/>
    </xf>
    <xf numFmtId="0" fontId="93" fillId="40" borderId="10" xfId="206" applyNumberFormat="1" applyFont="1" applyFill="1" applyBorder="1" applyAlignment="1" applyProtection="1">
      <alignment horizontal="center" vertical="center"/>
    </xf>
    <xf numFmtId="0" fontId="37" fillId="0" borderId="10" xfId="0" applyFont="1" applyBorder="1" applyAlignment="1">
      <alignment horizontal="center" vertical="center"/>
    </xf>
    <xf numFmtId="2" fontId="37" fillId="0" borderId="10" xfId="204" applyNumberFormat="1" applyFont="1" applyFill="1" applyBorder="1" applyAlignment="1" applyProtection="1">
      <alignment horizontal="center" vertical="center"/>
    </xf>
    <xf numFmtId="0" fontId="37" fillId="0" borderId="0" xfId="0" applyFont="1" applyAlignment="1">
      <alignment horizontal="center" vertical="center"/>
    </xf>
    <xf numFmtId="0" fontId="37" fillId="0" borderId="10" xfId="208" applyNumberFormat="1" applyFont="1" applyFill="1" applyBorder="1" applyAlignment="1" applyProtection="1">
      <alignment horizontal="center" vertical="center"/>
    </xf>
    <xf numFmtId="0" fontId="117" fillId="40" borderId="10" xfId="208" applyNumberFormat="1" applyFont="1" applyFill="1" applyBorder="1" applyAlignment="1" applyProtection="1">
      <alignment horizontal="center" vertical="center"/>
    </xf>
    <xf numFmtId="0" fontId="6" fillId="44" borderId="36" xfId="206" applyNumberFormat="1" applyFont="1" applyFill="1" applyBorder="1" applyAlignment="1" applyProtection="1">
      <alignment horizontal="left" vertical="center"/>
    </xf>
    <xf numFmtId="0" fontId="93" fillId="40" borderId="37" xfId="206" applyNumberFormat="1" applyFont="1" applyFill="1" applyBorder="1" applyAlignment="1" applyProtection="1">
      <alignment horizontal="center" vertical="center"/>
    </xf>
    <xf numFmtId="2" fontId="37" fillId="0" borderId="10" xfId="0" applyNumberFormat="1" applyFont="1" applyBorder="1" applyAlignment="1">
      <alignment horizontal="center" vertical="center"/>
    </xf>
    <xf numFmtId="0" fontId="72" fillId="0" borderId="47" xfId="206" applyNumberFormat="1" applyFont="1" applyFill="1" applyBorder="1" applyAlignment="1" applyProtection="1">
      <alignment horizontal="left" vertical="center"/>
    </xf>
    <xf numFmtId="0" fontId="118" fillId="40" borderId="48" xfId="206" applyNumberFormat="1" applyFont="1" applyFill="1" applyBorder="1" applyAlignment="1" applyProtection="1">
      <alignment horizontal="center" vertical="center"/>
    </xf>
    <xf numFmtId="0" fontId="31" fillId="0" borderId="48" xfId="208" applyNumberFormat="1" applyFont="1" applyFill="1" applyBorder="1" applyAlignment="1" applyProtection="1">
      <alignment horizontal="center" vertical="center"/>
    </xf>
    <xf numFmtId="2" fontId="31" fillId="0" borderId="48" xfId="208" applyNumberFormat="1" applyFont="1" applyFill="1" applyBorder="1" applyAlignment="1" applyProtection="1">
      <alignment horizontal="center" vertical="center"/>
    </xf>
    <xf numFmtId="0" fontId="113" fillId="44" borderId="35" xfId="206" applyNumberFormat="1" applyFont="1" applyFill="1" applyBorder="1" applyAlignment="1" applyProtection="1">
      <alignment horizontal="left" vertical="center"/>
    </xf>
    <xf numFmtId="0" fontId="113" fillId="40" borderId="10" xfId="206" applyNumberFormat="1" applyFont="1" applyFill="1" applyBorder="1" applyAlignment="1" applyProtection="1">
      <alignment horizontal="center" vertical="center"/>
    </xf>
    <xf numFmtId="0" fontId="113" fillId="0" borderId="10" xfId="0" applyFont="1" applyBorder="1" applyAlignment="1">
      <alignment horizontal="center" vertical="center"/>
    </xf>
    <xf numFmtId="2" fontId="113" fillId="0" borderId="10" xfId="142" applyNumberFormat="1" applyFont="1" applyFill="1" applyBorder="1" applyAlignment="1" applyProtection="1">
      <alignment horizontal="center" vertical="center"/>
    </xf>
    <xf numFmtId="2" fontId="113" fillId="0" borderId="10" xfId="0" applyNumberFormat="1" applyFont="1" applyBorder="1" applyAlignment="1">
      <alignment horizontal="center" vertical="center"/>
    </xf>
    <xf numFmtId="0" fontId="113" fillId="41" borderId="37" xfId="206" applyNumberFormat="1" applyFont="1" applyFill="1" applyBorder="1" applyAlignment="1" applyProtection="1">
      <alignment horizontal="center" vertical="center"/>
    </xf>
    <xf numFmtId="0" fontId="113" fillId="41" borderId="10" xfId="0" applyFont="1" applyFill="1" applyBorder="1" applyAlignment="1">
      <alignment horizontal="center" vertical="center"/>
    </xf>
    <xf numFmtId="2" fontId="113" fillId="41" borderId="10" xfId="0" applyNumberFormat="1" applyFont="1" applyFill="1" applyBorder="1" applyAlignment="1">
      <alignment horizontal="center" vertical="center"/>
    </xf>
    <xf numFmtId="0" fontId="113" fillId="44" borderId="36" xfId="206" applyNumberFormat="1" applyFont="1" applyFill="1" applyBorder="1" applyAlignment="1" applyProtection="1">
      <alignment horizontal="left" vertical="center"/>
    </xf>
    <xf numFmtId="0" fontId="113" fillId="40" borderId="37" xfId="206" applyNumberFormat="1" applyFont="1" applyFill="1" applyBorder="1" applyAlignment="1" applyProtection="1">
      <alignment horizontal="center" vertical="center"/>
    </xf>
    <xf numFmtId="0" fontId="7" fillId="0" borderId="47" xfId="206" applyNumberFormat="1" applyFont="1" applyFill="1" applyBorder="1" applyAlignment="1" applyProtection="1">
      <alignment horizontal="left" vertical="center"/>
    </xf>
    <xf numFmtId="0" fontId="7" fillId="40" borderId="48" xfId="206" applyNumberFormat="1" applyFont="1" applyFill="1" applyBorder="1" applyAlignment="1" applyProtection="1">
      <alignment horizontal="center" vertical="center"/>
    </xf>
    <xf numFmtId="2" fontId="7" fillId="40" borderId="48" xfId="206" applyNumberFormat="1" applyFont="1" applyFill="1" applyBorder="1" applyAlignment="1" applyProtection="1">
      <alignment horizontal="center" vertical="center"/>
    </xf>
    <xf numFmtId="0" fontId="120" fillId="0" borderId="10" xfId="0" applyFont="1" applyBorder="1" applyAlignment="1">
      <alignment horizontal="center" vertical="center"/>
    </xf>
    <xf numFmtId="2" fontId="120" fillId="0" borderId="10" xfId="204" applyNumberFormat="1" applyFont="1" applyFill="1" applyBorder="1" applyAlignment="1" applyProtection="1">
      <alignment horizontal="center" vertical="center"/>
    </xf>
    <xf numFmtId="2" fontId="120" fillId="41" borderId="10" xfId="204" applyNumberFormat="1" applyFont="1" applyFill="1" applyBorder="1" applyAlignment="1" applyProtection="1">
      <alignment horizontal="center" vertical="center"/>
    </xf>
    <xf numFmtId="0" fontId="120" fillId="41" borderId="10" xfId="0" applyFont="1" applyFill="1" applyBorder="1" applyAlignment="1">
      <alignment horizontal="center" vertical="center"/>
    </xf>
    <xf numFmtId="2" fontId="120" fillId="41" borderId="10" xfId="204" applyNumberFormat="1" applyFont="1" applyFill="1" applyBorder="1" applyAlignment="1">
      <alignment horizontal="center" vertical="center"/>
    </xf>
    <xf numFmtId="2" fontId="120" fillId="41" borderId="10" xfId="0" applyNumberFormat="1" applyFont="1" applyFill="1" applyBorder="1" applyAlignment="1">
      <alignment horizontal="center" vertical="center"/>
    </xf>
    <xf numFmtId="0" fontId="120" fillId="0" borderId="10" xfId="208" applyNumberFormat="1" applyFont="1" applyFill="1" applyBorder="1" applyAlignment="1" applyProtection="1">
      <alignment horizontal="center" vertical="center"/>
    </xf>
    <xf numFmtId="0" fontId="120" fillId="41" borderId="10" xfId="208" applyNumberFormat="1" applyFont="1" applyFill="1" applyBorder="1" applyAlignment="1" applyProtection="1">
      <alignment horizontal="center" vertical="center"/>
    </xf>
    <xf numFmtId="2" fontId="120" fillId="0" borderId="10" xfId="0" applyNumberFormat="1" applyFont="1" applyBorder="1" applyAlignment="1">
      <alignment horizontal="center" vertical="center"/>
    </xf>
    <xf numFmtId="0" fontId="29" fillId="0" borderId="48" xfId="208" applyNumberFormat="1" applyFont="1" applyFill="1" applyBorder="1" applyAlignment="1" applyProtection="1">
      <alignment horizontal="center" vertical="center"/>
    </xf>
    <xf numFmtId="2" fontId="29" fillId="41" borderId="48" xfId="208" applyNumberFormat="1" applyFont="1" applyFill="1" applyBorder="1" applyAlignment="1" applyProtection="1">
      <alignment horizontal="center" vertical="center"/>
    </xf>
    <xf numFmtId="0" fontId="31" fillId="0" borderId="66" xfId="117" applyFont="1" applyBorder="1" applyAlignment="1">
      <alignment horizontal="center" wrapText="1"/>
    </xf>
    <xf numFmtId="0" fontId="31" fillId="0" borderId="64" xfId="117" applyFont="1" applyBorder="1" applyAlignment="1">
      <alignment horizontal="center" wrapText="1"/>
    </xf>
    <xf numFmtId="0" fontId="31" fillId="0" borderId="0" xfId="117" applyFont="1" applyAlignment="1">
      <alignment horizontal="left" wrapText="1"/>
    </xf>
    <xf numFmtId="0" fontId="32" fillId="0" borderId="0" xfId="117" applyFont="1" applyAlignment="1">
      <alignment horizontal="right"/>
    </xf>
    <xf numFmtId="0" fontId="31" fillId="0" borderId="0" xfId="117" applyFont="1" applyAlignment="1">
      <alignment horizontal="left" vertical="top" wrapText="1"/>
    </xf>
    <xf numFmtId="0" fontId="110" fillId="0" borderId="19" xfId="117" applyFont="1" applyBorder="1" applyAlignment="1">
      <alignment horizontal="left" wrapText="1"/>
    </xf>
    <xf numFmtId="0" fontId="110" fillId="0" borderId="5" xfId="117" applyFont="1" applyBorder="1" applyAlignment="1">
      <alignment horizontal="left" wrapText="1"/>
    </xf>
    <xf numFmtId="0" fontId="110" fillId="0" borderId="20" xfId="117" applyFont="1" applyBorder="1" applyAlignment="1">
      <alignment horizontal="left" wrapText="1"/>
    </xf>
    <xf numFmtId="0" fontId="29" fillId="0" borderId="0" xfId="117" applyFont="1" applyAlignment="1">
      <alignment horizontal="center"/>
    </xf>
    <xf numFmtId="0" fontId="32" fillId="0" borderId="71" xfId="117" applyFont="1" applyBorder="1" applyAlignment="1">
      <alignment horizontal="right"/>
    </xf>
    <xf numFmtId="0" fontId="31" fillId="0" borderId="41" xfId="117" applyFont="1" applyBorder="1" applyAlignment="1">
      <alignment horizontal="center"/>
    </xf>
    <xf numFmtId="0" fontId="31" fillId="0" borderId="64" xfId="117" applyFont="1" applyBorder="1" applyAlignment="1">
      <alignment horizontal="center"/>
    </xf>
    <xf numFmtId="0" fontId="29" fillId="0" borderId="0" xfId="117" applyFont="1" applyAlignment="1">
      <alignment horizontal="center" vertical="center"/>
    </xf>
    <xf numFmtId="0" fontId="58" fillId="0" borderId="41" xfId="0" applyFont="1" applyBorder="1" applyAlignment="1">
      <alignment horizontal="center"/>
    </xf>
    <xf numFmtId="0" fontId="58" fillId="0" borderId="64" xfId="0" applyFont="1" applyBorder="1" applyAlignment="1">
      <alignment horizontal="center"/>
    </xf>
    <xf numFmtId="0" fontId="31" fillId="0" borderId="65" xfId="117" applyFont="1" applyBorder="1" applyAlignment="1">
      <alignment horizontal="center" wrapText="1"/>
    </xf>
    <xf numFmtId="0" fontId="59" fillId="0" borderId="41" xfId="0" applyFont="1" applyBorder="1" applyAlignment="1">
      <alignment horizontal="center" wrapText="1"/>
    </xf>
    <xf numFmtId="0" fontId="59" fillId="0" borderId="64" xfId="0" applyFont="1" applyBorder="1" applyAlignment="1">
      <alignment horizontal="center" wrapText="1"/>
    </xf>
    <xf numFmtId="0" fontId="61" fillId="0" borderId="0" xfId="0" applyFont="1" applyAlignment="1">
      <alignment horizontal="center"/>
    </xf>
    <xf numFmtId="0" fontId="68" fillId="0" borderId="0" xfId="0" applyFont="1" applyAlignment="1">
      <alignment horizontal="right"/>
    </xf>
    <xf numFmtId="0" fontId="58" fillId="0" borderId="65" xfId="0" applyFont="1" applyBorder="1" applyAlignment="1">
      <alignment horizontal="center" wrapText="1"/>
    </xf>
    <xf numFmtId="0" fontId="58" fillId="0" borderId="64" xfId="0" applyFont="1" applyBorder="1" applyAlignment="1">
      <alignment horizontal="center" wrapText="1"/>
    </xf>
    <xf numFmtId="0" fontId="61" fillId="0" borderId="19" xfId="0" applyFont="1" applyBorder="1" applyAlignment="1">
      <alignment horizontal="center"/>
    </xf>
    <xf numFmtId="0" fontId="61" fillId="0" borderId="5" xfId="0" applyFont="1" applyBorder="1" applyAlignment="1">
      <alignment horizontal="center"/>
    </xf>
    <xf numFmtId="0" fontId="61" fillId="0" borderId="20" xfId="0" applyFont="1" applyBorder="1" applyAlignment="1">
      <alignment horizontal="center"/>
    </xf>
    <xf numFmtId="0" fontId="61" fillId="0" borderId="41" xfId="0" applyFont="1" applyBorder="1" applyAlignment="1">
      <alignment horizontal="center"/>
    </xf>
    <xf numFmtId="0" fontId="61" fillId="0" borderId="66" xfId="0" applyFont="1" applyBorder="1" applyAlignment="1">
      <alignment horizontal="center"/>
    </xf>
    <xf numFmtId="0" fontId="61" fillId="0" borderId="42" xfId="0" applyFont="1" applyBorder="1" applyAlignment="1">
      <alignment horizontal="center"/>
    </xf>
    <xf numFmtId="0" fontId="68" fillId="0" borderId="19" xfId="0" applyFont="1" applyBorder="1" applyAlignment="1">
      <alignment horizontal="right"/>
    </xf>
    <xf numFmtId="0" fontId="68" fillId="0" borderId="20" xfId="0" applyFont="1" applyBorder="1" applyAlignment="1">
      <alignment horizontal="right"/>
    </xf>
    <xf numFmtId="0" fontId="58" fillId="0" borderId="41" xfId="0" applyFont="1" applyBorder="1" applyAlignment="1">
      <alignment horizontal="center" wrapText="1"/>
    </xf>
    <xf numFmtId="0" fontId="61" fillId="0" borderId="41" xfId="0" applyFont="1" applyBorder="1" applyAlignment="1">
      <alignment horizontal="center" wrapText="1"/>
    </xf>
    <xf numFmtId="0" fontId="61" fillId="0" borderId="66" xfId="0" applyFont="1" applyBorder="1" applyAlignment="1">
      <alignment horizontal="center" wrapText="1"/>
    </xf>
    <xf numFmtId="0" fontId="61" fillId="0" borderId="64" xfId="0" applyFont="1" applyBorder="1" applyAlignment="1">
      <alignment horizontal="center" wrapText="1"/>
    </xf>
    <xf numFmtId="0" fontId="68" fillId="0" borderId="19" xfId="0" applyFont="1" applyBorder="1" applyAlignment="1">
      <alignment horizontal="right" vertical="center"/>
    </xf>
    <xf numFmtId="0" fontId="68" fillId="0" borderId="20" xfId="0" applyFont="1" applyBorder="1" applyAlignment="1">
      <alignment horizontal="right" vertical="center"/>
    </xf>
    <xf numFmtId="0" fontId="31" fillId="0" borderId="19" xfId="117" applyFont="1" applyBorder="1" applyAlignment="1">
      <alignment horizontal="left" wrapText="1"/>
    </xf>
    <xf numFmtId="0" fontId="31" fillId="0" borderId="5" xfId="117" applyFont="1" applyBorder="1" applyAlignment="1">
      <alignment horizontal="left" wrapText="1"/>
    </xf>
    <xf numFmtId="0" fontId="31" fillId="0" borderId="20" xfId="117" applyFont="1" applyBorder="1" applyAlignment="1">
      <alignment horizontal="left" wrapText="1"/>
    </xf>
    <xf numFmtId="0" fontId="31" fillId="0" borderId="0" xfId="117" applyFont="1" applyAlignment="1">
      <alignment horizontal="center"/>
    </xf>
    <xf numFmtId="0" fontId="31" fillId="0" borderId="0" xfId="117" applyFont="1" applyAlignment="1">
      <alignment horizontal="right"/>
    </xf>
    <xf numFmtId="0" fontId="31" fillId="0" borderId="71" xfId="117" applyFont="1" applyBorder="1" applyAlignment="1">
      <alignment horizontal="right" vertical="center"/>
    </xf>
    <xf numFmtId="0" fontId="72" fillId="0" borderId="10" xfId="115" applyFont="1" applyBorder="1" applyAlignment="1">
      <alignment horizontal="center"/>
    </xf>
    <xf numFmtId="0" fontId="72" fillId="0" borderId="58" xfId="115" applyFont="1" applyBorder="1" applyAlignment="1">
      <alignment horizontal="center"/>
    </xf>
    <xf numFmtId="0" fontId="6" fillId="0" borderId="44" xfId="115" applyBorder="1" applyAlignment="1">
      <alignment horizontal="center"/>
    </xf>
    <xf numFmtId="0" fontId="6" fillId="0" borderId="61" xfId="115" applyBorder="1" applyAlignment="1">
      <alignment horizontal="center"/>
    </xf>
    <xf numFmtId="0" fontId="6" fillId="0" borderId="23" xfId="115" applyBorder="1" applyAlignment="1">
      <alignment horizontal="center"/>
    </xf>
    <xf numFmtId="0" fontId="72" fillId="0" borderId="19" xfId="115" applyFont="1" applyBorder="1" applyAlignment="1">
      <alignment horizontal="center"/>
    </xf>
    <xf numFmtId="0" fontId="72" fillId="0" borderId="5" xfId="115" applyFont="1" applyBorder="1" applyAlignment="1">
      <alignment horizontal="center"/>
    </xf>
    <xf numFmtId="0" fontId="72" fillId="0" borderId="20" xfId="115" applyFont="1" applyBorder="1" applyAlignment="1">
      <alignment horizontal="center"/>
    </xf>
    <xf numFmtId="0" fontId="6" fillId="0" borderId="75" xfId="115" applyBorder="1" applyAlignment="1">
      <alignment wrapText="1"/>
    </xf>
    <xf numFmtId="0" fontId="6" fillId="0" borderId="76" xfId="115" applyBorder="1" applyAlignment="1">
      <alignment wrapText="1"/>
    </xf>
    <xf numFmtId="0" fontId="6" fillId="0" borderId="56" xfId="115" applyBorder="1" applyAlignment="1">
      <alignment wrapText="1"/>
    </xf>
    <xf numFmtId="0" fontId="6" fillId="0" borderId="77" xfId="115" applyBorder="1" applyAlignment="1">
      <alignment wrapText="1"/>
    </xf>
    <xf numFmtId="0" fontId="76" fillId="0" borderId="0" xfId="201" applyFont="1" applyAlignment="1">
      <alignment horizontal="center"/>
    </xf>
    <xf numFmtId="0" fontId="77" fillId="0" borderId="0" xfId="201" applyFont="1" applyAlignment="1">
      <alignment horizontal="center"/>
    </xf>
    <xf numFmtId="0" fontId="78" fillId="41" borderId="0" xfId="201" applyFont="1" applyFill="1" applyAlignment="1">
      <alignment horizontal="center"/>
    </xf>
    <xf numFmtId="0" fontId="81" fillId="0" borderId="0" xfId="201" applyFont="1" applyAlignment="1">
      <alignment horizontal="center" vertical="center"/>
    </xf>
    <xf numFmtId="0" fontId="79" fillId="0" borderId="10" xfId="201" applyFont="1" applyBorder="1" applyAlignment="1">
      <alignment horizontal="center" vertical="center"/>
    </xf>
    <xf numFmtId="0" fontId="91" fillId="43" borderId="35" xfId="0" applyFont="1" applyFill="1" applyBorder="1" applyAlignment="1">
      <alignment horizontal="center" vertical="center"/>
    </xf>
    <xf numFmtId="0" fontId="85" fillId="43" borderId="46" xfId="0" applyFont="1" applyFill="1" applyBorder="1" applyAlignment="1">
      <alignment horizontal="left" vertical="center" wrapText="1"/>
    </xf>
    <xf numFmtId="0" fontId="99" fillId="43" borderId="6" xfId="0" applyFont="1" applyFill="1" applyBorder="1" applyAlignment="1">
      <alignment horizontal="left" vertical="center" wrapText="1"/>
    </xf>
    <xf numFmtId="0" fontId="99" fillId="43" borderId="62" xfId="0" applyFont="1" applyFill="1" applyBorder="1" applyAlignment="1">
      <alignment horizontal="left" vertical="center" wrapText="1"/>
    </xf>
    <xf numFmtId="0" fontId="87" fillId="0" borderId="37" xfId="0" applyFont="1" applyBorder="1" applyAlignment="1">
      <alignment horizontal="center" vertical="center" wrapText="1"/>
    </xf>
    <xf numFmtId="0" fontId="87" fillId="0" borderId="55" xfId="0" applyFont="1" applyBorder="1" applyAlignment="1">
      <alignment horizontal="center" vertical="center" wrapText="1"/>
    </xf>
    <xf numFmtId="0" fontId="87" fillId="0" borderId="10" xfId="0" applyFont="1" applyBorder="1" applyAlignment="1">
      <alignment horizontal="center" vertical="center" wrapText="1"/>
    </xf>
    <xf numFmtId="0" fontId="90" fillId="0" borderId="37" xfId="0" applyFont="1" applyBorder="1" applyAlignment="1">
      <alignment horizontal="center" vertical="center" wrapText="1"/>
    </xf>
    <xf numFmtId="0" fontId="90" fillId="0" borderId="55" xfId="0" applyFont="1" applyBorder="1" applyAlignment="1">
      <alignment horizontal="center" vertical="center" wrapText="1"/>
    </xf>
    <xf numFmtId="0" fontId="91" fillId="43" borderId="32" xfId="0" applyFont="1" applyFill="1" applyBorder="1" applyAlignment="1">
      <alignment horizontal="center" vertical="center"/>
    </xf>
    <xf numFmtId="0" fontId="85" fillId="0" borderId="0" xfId="0" applyFont="1" applyAlignment="1">
      <alignment horizontal="center" wrapText="1"/>
    </xf>
    <xf numFmtId="0" fontId="86" fillId="43" borderId="10" xfId="0" applyFont="1" applyFill="1" applyBorder="1"/>
    <xf numFmtId="0" fontId="88" fillId="0" borderId="37" xfId="0" applyFont="1" applyBorder="1" applyAlignment="1">
      <alignment horizontal="center" vertical="center" wrapText="1"/>
    </xf>
    <xf numFmtId="0" fontId="88" fillId="0" borderId="55" xfId="0" applyFont="1" applyBorder="1" applyAlignment="1">
      <alignment horizontal="center" vertical="center" wrapText="1"/>
    </xf>
    <xf numFmtId="0" fontId="89" fillId="0" borderId="37" xfId="0" applyFont="1" applyBorder="1" applyAlignment="1">
      <alignment horizontal="center" vertical="center" wrapText="1"/>
    </xf>
    <xf numFmtId="0" fontId="89" fillId="0" borderId="55" xfId="0" applyFont="1" applyBorder="1" applyAlignment="1">
      <alignment horizontal="center" vertical="center" wrapText="1"/>
    </xf>
    <xf numFmtId="2" fontId="88" fillId="0" borderId="37" xfId="0" applyNumberFormat="1" applyFont="1" applyBorder="1" applyAlignment="1">
      <alignment horizontal="center" vertical="center" wrapText="1"/>
    </xf>
    <xf numFmtId="2" fontId="88" fillId="0" borderId="55" xfId="0" applyNumberFormat="1" applyFont="1" applyBorder="1" applyAlignment="1">
      <alignment horizontal="center" vertical="center" wrapText="1"/>
    </xf>
    <xf numFmtId="0" fontId="105" fillId="0" borderId="0" xfId="0" applyFont="1" applyAlignment="1">
      <alignment vertical="center" wrapText="1"/>
    </xf>
    <xf numFmtId="0" fontId="105" fillId="0" borderId="0" xfId="0" applyFont="1" applyAlignment="1">
      <alignment horizontal="center" vertical="center" wrapText="1"/>
    </xf>
    <xf numFmtId="0" fontId="105" fillId="0" borderId="0" xfId="0" applyFont="1" applyAlignment="1">
      <alignment horizontal="left" vertical="center" wrapText="1"/>
    </xf>
    <xf numFmtId="0" fontId="105" fillId="0" borderId="0" xfId="0" applyFont="1" applyAlignment="1">
      <alignment horizontal="right" vertical="center" wrapText="1"/>
    </xf>
    <xf numFmtId="0" fontId="103" fillId="0" borderId="0" xfId="0" applyFont="1" applyAlignment="1">
      <alignment vertical="center" wrapText="1"/>
    </xf>
    <xf numFmtId="0" fontId="104" fillId="0" borderId="0" xfId="0" applyFont="1" applyAlignment="1">
      <alignment horizontal="center" vertical="center" wrapText="1"/>
    </xf>
    <xf numFmtId="0" fontId="7" fillId="0" borderId="26" xfId="206" applyNumberFormat="1" applyFont="1" applyFill="1" applyBorder="1" applyAlignment="1" applyProtection="1">
      <alignment horizontal="left" vertical="center" wrapText="1"/>
    </xf>
    <xf numFmtId="0" fontId="7" fillId="0" borderId="6" xfId="206" applyNumberFormat="1" applyFont="1" applyFill="1" applyBorder="1" applyAlignment="1" applyProtection="1">
      <alignment horizontal="left" vertical="center" wrapText="1"/>
    </xf>
    <xf numFmtId="0" fontId="7" fillId="0" borderId="62" xfId="206" applyNumberFormat="1" applyFont="1" applyFill="1" applyBorder="1" applyAlignment="1" applyProtection="1">
      <alignment horizontal="left" vertical="center" wrapText="1"/>
    </xf>
    <xf numFmtId="0" fontId="116" fillId="40" borderId="70" xfId="0" applyFont="1" applyFill="1" applyBorder="1" applyAlignment="1">
      <alignment horizontal="center" vertical="center" wrapText="1"/>
    </xf>
    <xf numFmtId="0" fontId="116" fillId="40" borderId="18" xfId="0" applyFont="1" applyFill="1" applyBorder="1" applyAlignment="1">
      <alignment horizontal="center" vertical="center" wrapText="1"/>
    </xf>
    <xf numFmtId="0" fontId="116" fillId="40" borderId="40" xfId="0" applyFont="1" applyFill="1" applyBorder="1" applyAlignment="1">
      <alignment horizontal="center" vertical="center" wrapText="1"/>
    </xf>
    <xf numFmtId="0" fontId="119" fillId="40" borderId="70" xfId="0" applyFont="1" applyFill="1" applyBorder="1" applyAlignment="1">
      <alignment horizontal="center" vertical="center" wrapText="1"/>
    </xf>
    <xf numFmtId="0" fontId="119" fillId="40" borderId="18" xfId="0" applyFont="1" applyFill="1" applyBorder="1" applyAlignment="1">
      <alignment horizontal="center" vertical="center" wrapText="1"/>
    </xf>
    <xf numFmtId="0" fontId="119" fillId="40" borderId="40" xfId="0" applyFont="1" applyFill="1" applyBorder="1" applyAlignment="1">
      <alignment horizontal="center" vertical="center" wrapText="1"/>
    </xf>
    <xf numFmtId="0" fontId="121" fillId="40" borderId="70" xfId="0" applyFont="1" applyFill="1" applyBorder="1" applyAlignment="1">
      <alignment horizontal="center" vertical="center" wrapText="1"/>
    </xf>
    <xf numFmtId="0" fontId="121" fillId="40" borderId="18" xfId="0" applyFont="1" applyFill="1" applyBorder="1" applyAlignment="1">
      <alignment horizontal="center" vertical="center" wrapText="1"/>
    </xf>
    <xf numFmtId="0" fontId="121" fillId="40" borderId="40" xfId="0" applyFont="1" applyFill="1" applyBorder="1" applyAlignment="1">
      <alignment horizontal="center" vertical="center" wrapText="1"/>
    </xf>
  </cellXfs>
  <cellStyles count="209">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 20%" xfId="19" xr:uid="{00000000-0005-0000-0000-000012000000}"/>
    <cellStyle name="Accent1 - 40%" xfId="20" xr:uid="{00000000-0005-0000-0000-000013000000}"/>
    <cellStyle name="Accent1 - 60%" xfId="21" xr:uid="{00000000-0005-0000-0000-000014000000}"/>
    <cellStyle name="Accent1 2" xfId="22" xr:uid="{00000000-0005-0000-0000-000015000000}"/>
    <cellStyle name="Accent2 - 20%" xfId="23" xr:uid="{00000000-0005-0000-0000-000016000000}"/>
    <cellStyle name="Accent2 - 40%" xfId="24" xr:uid="{00000000-0005-0000-0000-000017000000}"/>
    <cellStyle name="Accent2 - 60%" xfId="25" xr:uid="{00000000-0005-0000-0000-000018000000}"/>
    <cellStyle name="Accent2 2" xfId="26" xr:uid="{00000000-0005-0000-0000-000019000000}"/>
    <cellStyle name="Accent3 - 20%" xfId="27" xr:uid="{00000000-0005-0000-0000-00001A000000}"/>
    <cellStyle name="Accent3 - 40%" xfId="28" xr:uid="{00000000-0005-0000-0000-00001B000000}"/>
    <cellStyle name="Accent3 - 60%" xfId="29" xr:uid="{00000000-0005-0000-0000-00001C000000}"/>
    <cellStyle name="Accent3 2" xfId="30" xr:uid="{00000000-0005-0000-0000-00001D000000}"/>
    <cellStyle name="Accent4 - 20%" xfId="31" xr:uid="{00000000-0005-0000-0000-00001E000000}"/>
    <cellStyle name="Accent4 - 40%" xfId="32" xr:uid="{00000000-0005-0000-0000-00001F000000}"/>
    <cellStyle name="Accent4 - 60%" xfId="33" xr:uid="{00000000-0005-0000-0000-000020000000}"/>
    <cellStyle name="Accent4 2" xfId="34" xr:uid="{00000000-0005-0000-0000-000021000000}"/>
    <cellStyle name="Accent5 - 20%" xfId="35" xr:uid="{00000000-0005-0000-0000-000022000000}"/>
    <cellStyle name="Accent5 - 40%" xfId="36" xr:uid="{00000000-0005-0000-0000-000023000000}"/>
    <cellStyle name="Accent5 - 60%" xfId="37" xr:uid="{00000000-0005-0000-0000-000024000000}"/>
    <cellStyle name="Accent5 2" xfId="38" xr:uid="{00000000-0005-0000-0000-000025000000}"/>
    <cellStyle name="Accent6 - 20%" xfId="39" xr:uid="{00000000-0005-0000-0000-000026000000}"/>
    <cellStyle name="Accent6 - 40%" xfId="40" xr:uid="{00000000-0005-0000-0000-000027000000}"/>
    <cellStyle name="Accent6 - 60%" xfId="41" xr:uid="{00000000-0005-0000-0000-000028000000}"/>
    <cellStyle name="Accent6 2" xfId="42" xr:uid="{00000000-0005-0000-0000-000029000000}"/>
    <cellStyle name="AeE­ [0]_INQUIRY ¿μ¾÷AßAø " xfId="43" xr:uid="{00000000-0005-0000-0000-00002A000000}"/>
    <cellStyle name="AeE­_INQUIRY ¿μ¾÷AßAø " xfId="44" xr:uid="{00000000-0005-0000-0000-00002B000000}"/>
    <cellStyle name="AÞ¸¶ [0]_INQUIRY ¿?¾÷AßAø " xfId="45" xr:uid="{00000000-0005-0000-0000-00002C000000}"/>
    <cellStyle name="AÞ¸¶_INQUIRY ¿?¾÷AßAø " xfId="46" xr:uid="{00000000-0005-0000-0000-00002D000000}"/>
    <cellStyle name="Bad 2" xfId="47" xr:uid="{00000000-0005-0000-0000-00002E000000}"/>
    <cellStyle name="Black" xfId="48" xr:uid="{00000000-0005-0000-0000-00002F000000}"/>
    <cellStyle name="Border" xfId="49" xr:uid="{00000000-0005-0000-0000-000030000000}"/>
    <cellStyle name="C?AØ_¿?¾÷CoE² " xfId="50" xr:uid="{00000000-0005-0000-0000-000031000000}"/>
    <cellStyle name="C￥AØ_¿μ¾÷CoE² " xfId="51" xr:uid="{00000000-0005-0000-0000-000032000000}"/>
    <cellStyle name="Calc Currency (0)" xfId="52" xr:uid="{00000000-0005-0000-0000-000033000000}"/>
    <cellStyle name="Calc Currency (2)" xfId="53" xr:uid="{00000000-0005-0000-0000-000034000000}"/>
    <cellStyle name="Calc Percent (0)" xfId="54" xr:uid="{00000000-0005-0000-0000-000035000000}"/>
    <cellStyle name="Calc Percent (1)" xfId="55" xr:uid="{00000000-0005-0000-0000-000036000000}"/>
    <cellStyle name="Calc Percent (2)" xfId="56" xr:uid="{00000000-0005-0000-0000-000037000000}"/>
    <cellStyle name="Calc Units (0)" xfId="57" xr:uid="{00000000-0005-0000-0000-000038000000}"/>
    <cellStyle name="Calc Units (1)" xfId="58" xr:uid="{00000000-0005-0000-0000-000039000000}"/>
    <cellStyle name="Calc Units (2)" xfId="59" xr:uid="{00000000-0005-0000-0000-00003A000000}"/>
    <cellStyle name="Calculation 2" xfId="60" xr:uid="{00000000-0005-0000-0000-00003B000000}"/>
    <cellStyle name="Check Cell 2" xfId="61" xr:uid="{00000000-0005-0000-0000-00003C000000}"/>
    <cellStyle name="Comma" xfId="175" builtinId="3"/>
    <cellStyle name="Comma [0] 2" xfId="177" xr:uid="{00000000-0005-0000-0000-00003E000000}"/>
    <cellStyle name="Comma [00]" xfId="62" xr:uid="{00000000-0005-0000-0000-00003F000000}"/>
    <cellStyle name="Comma 2" xfId="63" xr:uid="{00000000-0005-0000-0000-000040000000}"/>
    <cellStyle name="Comma 2 2" xfId="64" xr:uid="{00000000-0005-0000-0000-000041000000}"/>
    <cellStyle name="Comma 2 3" xfId="178" xr:uid="{00000000-0005-0000-0000-000042000000}"/>
    <cellStyle name="Comma 2 3 2" xfId="179" xr:uid="{00000000-0005-0000-0000-000043000000}"/>
    <cellStyle name="Comma 2 4" xfId="180" xr:uid="{00000000-0005-0000-0000-000044000000}"/>
    <cellStyle name="Comma 3" xfId="65" xr:uid="{00000000-0005-0000-0000-000045000000}"/>
    <cellStyle name="Comma 3 2" xfId="181" xr:uid="{00000000-0005-0000-0000-000046000000}"/>
    <cellStyle name="Comma 3 3" xfId="182" xr:uid="{00000000-0005-0000-0000-000047000000}"/>
    <cellStyle name="Comma 3 4" xfId="183" xr:uid="{00000000-0005-0000-0000-000048000000}"/>
    <cellStyle name="Comma 4" xfId="66" xr:uid="{00000000-0005-0000-0000-000049000000}"/>
    <cellStyle name="Comma 5" xfId="67" xr:uid="{00000000-0005-0000-0000-00004A000000}"/>
    <cellStyle name="Comma 5 2" xfId="184" xr:uid="{00000000-0005-0000-0000-00004B000000}"/>
    <cellStyle name="Comma 6" xfId="176" xr:uid="{00000000-0005-0000-0000-00004C000000}"/>
    <cellStyle name="Comma 7" xfId="185" xr:uid="{00000000-0005-0000-0000-00004D000000}"/>
    <cellStyle name="Comma 8" xfId="186" xr:uid="{00000000-0005-0000-0000-00004E000000}"/>
    <cellStyle name="Comma 8 2" xfId="187" xr:uid="{00000000-0005-0000-0000-00004F000000}"/>
    <cellStyle name="Comma0" xfId="68" xr:uid="{00000000-0005-0000-0000-000050000000}"/>
    <cellStyle name="Currency [00]" xfId="69" xr:uid="{00000000-0005-0000-0000-000051000000}"/>
    <cellStyle name="Currency0" xfId="70" xr:uid="{00000000-0005-0000-0000-000052000000}"/>
    <cellStyle name="Date" xfId="71" xr:uid="{00000000-0005-0000-0000-000053000000}"/>
    <cellStyle name="Date Short" xfId="72" xr:uid="{00000000-0005-0000-0000-000054000000}"/>
    <cellStyle name="Dezimal [0]_laroux" xfId="73" xr:uid="{00000000-0005-0000-0000-000055000000}"/>
    <cellStyle name="Dezimal_laroux" xfId="74" xr:uid="{00000000-0005-0000-0000-000056000000}"/>
    <cellStyle name="Emphasis 1" xfId="75" xr:uid="{00000000-0005-0000-0000-000057000000}"/>
    <cellStyle name="Emphasis 2" xfId="76" xr:uid="{00000000-0005-0000-0000-000058000000}"/>
    <cellStyle name="Emphasis 3" xfId="77" xr:uid="{00000000-0005-0000-0000-000059000000}"/>
    <cellStyle name="Enter Currency (0)" xfId="78" xr:uid="{00000000-0005-0000-0000-00005A000000}"/>
    <cellStyle name="Enter Currency (2)" xfId="79" xr:uid="{00000000-0005-0000-0000-00005B000000}"/>
    <cellStyle name="Enter Units (0)" xfId="80" xr:uid="{00000000-0005-0000-0000-00005C000000}"/>
    <cellStyle name="Enter Units (1)" xfId="81" xr:uid="{00000000-0005-0000-0000-00005D000000}"/>
    <cellStyle name="Enter Units (2)" xfId="82" xr:uid="{00000000-0005-0000-0000-00005E000000}"/>
    <cellStyle name="Euro" xfId="83" xr:uid="{00000000-0005-0000-0000-00005F000000}"/>
    <cellStyle name="Explanatory Text 2" xfId="84" xr:uid="{00000000-0005-0000-0000-000060000000}"/>
    <cellStyle name="Fixed" xfId="85" xr:uid="{00000000-0005-0000-0000-000061000000}"/>
    <cellStyle name="Good 2" xfId="86" xr:uid="{00000000-0005-0000-0000-000062000000}"/>
    <cellStyle name="GrandTotal" xfId="87" xr:uid="{00000000-0005-0000-0000-000063000000}"/>
    <cellStyle name="Grey" xfId="88" xr:uid="{00000000-0005-0000-0000-000064000000}"/>
    <cellStyle name="Header1" xfId="89" xr:uid="{00000000-0005-0000-0000-000065000000}"/>
    <cellStyle name="Header2" xfId="90" xr:uid="{00000000-0005-0000-0000-000066000000}"/>
    <cellStyle name="Heading 1 2" xfId="91" xr:uid="{00000000-0005-0000-0000-000067000000}"/>
    <cellStyle name="Heading 2 2" xfId="92" xr:uid="{00000000-0005-0000-0000-000068000000}"/>
    <cellStyle name="Heading 3 2" xfId="93" xr:uid="{00000000-0005-0000-0000-000069000000}"/>
    <cellStyle name="Heading 4 2" xfId="94" xr:uid="{00000000-0005-0000-0000-00006A000000}"/>
    <cellStyle name="Hyperlink 2" xfId="95" xr:uid="{00000000-0005-0000-0000-00006B000000}"/>
    <cellStyle name="Input [yellow]" xfId="96" xr:uid="{00000000-0005-0000-0000-00006C000000}"/>
    <cellStyle name="Input 2" xfId="97" xr:uid="{00000000-0005-0000-0000-00006D000000}"/>
    <cellStyle name="Link Currency (0)" xfId="98" xr:uid="{00000000-0005-0000-0000-00006E000000}"/>
    <cellStyle name="Link Currency (2)" xfId="99" xr:uid="{00000000-0005-0000-0000-00006F000000}"/>
    <cellStyle name="Link Units (0)" xfId="100" xr:uid="{00000000-0005-0000-0000-000070000000}"/>
    <cellStyle name="Link Units (1)" xfId="101" xr:uid="{00000000-0005-0000-0000-000071000000}"/>
    <cellStyle name="Link Units (2)" xfId="102" xr:uid="{00000000-0005-0000-0000-000072000000}"/>
    <cellStyle name="Linked Cell 2" xfId="103" xr:uid="{00000000-0005-0000-0000-000073000000}"/>
    <cellStyle name="Milliers [0]_laroux" xfId="104" xr:uid="{00000000-0005-0000-0000-000074000000}"/>
    <cellStyle name="Milliers_laroux" xfId="105" xr:uid="{00000000-0005-0000-0000-000075000000}"/>
    <cellStyle name="Neutral 2" xfId="106" xr:uid="{00000000-0005-0000-0000-000076000000}"/>
    <cellStyle name="Non défini" xfId="107" xr:uid="{00000000-0005-0000-0000-000077000000}"/>
    <cellStyle name="Non défini 2" xfId="188" xr:uid="{00000000-0005-0000-0000-000078000000}"/>
    <cellStyle name="Normal" xfId="0" builtinId="0"/>
    <cellStyle name="Normal - Style1" xfId="108" xr:uid="{00000000-0005-0000-0000-00007A000000}"/>
    <cellStyle name="Normal 10" xfId="109" xr:uid="{00000000-0005-0000-0000-00007B000000}"/>
    <cellStyle name="Normal 10 2" xfId="189" xr:uid="{00000000-0005-0000-0000-00007C000000}"/>
    <cellStyle name="Normal 11" xfId="110" xr:uid="{00000000-0005-0000-0000-00007D000000}"/>
    <cellStyle name="Normal 12" xfId="111" xr:uid="{00000000-0005-0000-0000-00007E000000}"/>
    <cellStyle name="Normal 13" xfId="112" xr:uid="{00000000-0005-0000-0000-00007F000000}"/>
    <cellStyle name="Normal 14" xfId="113" xr:uid="{00000000-0005-0000-0000-000080000000}"/>
    <cellStyle name="Normal 15" xfId="190" xr:uid="{00000000-0005-0000-0000-000081000000}"/>
    <cellStyle name="Normal 16" xfId="191" xr:uid="{00000000-0005-0000-0000-000082000000}"/>
    <cellStyle name="Normal 17" xfId="192" xr:uid="{00000000-0005-0000-0000-000083000000}"/>
    <cellStyle name="Normal 18" xfId="193" xr:uid="{00000000-0005-0000-0000-000084000000}"/>
    <cellStyle name="Normal 19" xfId="194" xr:uid="{00000000-0005-0000-0000-000085000000}"/>
    <cellStyle name="Normal 19 2" xfId="195" xr:uid="{00000000-0005-0000-0000-000086000000}"/>
    <cellStyle name="Normal 2" xfId="114" xr:uid="{00000000-0005-0000-0000-000087000000}"/>
    <cellStyle name="Normal 2 2" xfId="115" xr:uid="{00000000-0005-0000-0000-000088000000}"/>
    <cellStyle name="Normal 2 2 2" xfId="116" xr:uid="{00000000-0005-0000-0000-000089000000}"/>
    <cellStyle name="Normal 2 2 2 2" xfId="196" xr:uid="{00000000-0005-0000-0000-00008A000000}"/>
    <cellStyle name="Normal 2 2 3" xfId="117" xr:uid="{00000000-0005-0000-0000-00008B000000}"/>
    <cellStyle name="Normal 2 2 3 2" xfId="118" xr:uid="{00000000-0005-0000-0000-00008C000000}"/>
    <cellStyle name="Normal 2 3" xfId="119" xr:uid="{00000000-0005-0000-0000-00008D000000}"/>
    <cellStyle name="Normal 2 4" xfId="120" xr:uid="{00000000-0005-0000-0000-00008E000000}"/>
    <cellStyle name="Normal 20" xfId="197" xr:uid="{00000000-0005-0000-0000-00008F000000}"/>
    <cellStyle name="Normal 21" xfId="198" xr:uid="{00000000-0005-0000-0000-000090000000}"/>
    <cellStyle name="Normal 22" xfId="203" xr:uid="{00000000-0005-0000-0000-000091000000}"/>
    <cellStyle name="Normal 3" xfId="121" xr:uid="{00000000-0005-0000-0000-000092000000}"/>
    <cellStyle name="Normal 3 2" xfId="122" xr:uid="{00000000-0005-0000-0000-000093000000}"/>
    <cellStyle name="Normal 3 2 2" xfId="123" xr:uid="{00000000-0005-0000-0000-000094000000}"/>
    <cellStyle name="Normal 3 3" xfId="124" xr:uid="{00000000-0005-0000-0000-000095000000}"/>
    <cellStyle name="Normal 3 4" xfId="125" xr:uid="{00000000-0005-0000-0000-000096000000}"/>
    <cellStyle name="Normal 4" xfId="126" xr:uid="{00000000-0005-0000-0000-000097000000}"/>
    <cellStyle name="Normal 4 2" xfId="127" xr:uid="{00000000-0005-0000-0000-000098000000}"/>
    <cellStyle name="Normal 5" xfId="128" xr:uid="{00000000-0005-0000-0000-000099000000}"/>
    <cellStyle name="Normal 5 2" xfId="199" xr:uid="{00000000-0005-0000-0000-00009A000000}"/>
    <cellStyle name="Normal 59" xfId="129" xr:uid="{00000000-0005-0000-0000-00009B000000}"/>
    <cellStyle name="Normal 6" xfId="130" xr:uid="{00000000-0005-0000-0000-00009C000000}"/>
    <cellStyle name="Normal 6 2" xfId="200" xr:uid="{00000000-0005-0000-0000-00009D000000}"/>
    <cellStyle name="Normal 6 3" xfId="201" xr:uid="{00000000-0005-0000-0000-00009E000000}"/>
    <cellStyle name="Normal 7" xfId="131" xr:uid="{00000000-0005-0000-0000-00009F000000}"/>
    <cellStyle name="Normal 8" xfId="132" xr:uid="{00000000-0005-0000-0000-0000A0000000}"/>
    <cellStyle name="Normal 88" xfId="133" xr:uid="{00000000-0005-0000-0000-0000A1000000}"/>
    <cellStyle name="Normal 9" xfId="134" xr:uid="{00000000-0005-0000-0000-0000A2000000}"/>
    <cellStyle name="Normal_Accident QTRLY" xfId="202" xr:uid="{00000000-0005-0000-0000-0000A3000000}"/>
    <cellStyle name="Normal_Accident QTRLY 2" xfId="205" xr:uid="{00000000-0005-0000-0000-0000A4000000}"/>
    <cellStyle name="Normal_Faulty Meter QTRLY 2" xfId="207" xr:uid="{00000000-0005-0000-0000-0000A5000000}"/>
    <cellStyle name="Normal_TND LOSS QTRLY" xfId="208" xr:uid="{00000000-0005-0000-0000-0000A6000000}"/>
    <cellStyle name="Normal_TND LOSS QTRLY 2" xfId="206" xr:uid="{00000000-0005-0000-0000-0000A7000000}"/>
    <cellStyle name="Note 2" xfId="135" xr:uid="{00000000-0005-0000-0000-0000A8000000}"/>
    <cellStyle name="Output 2" xfId="136" xr:uid="{00000000-0005-0000-0000-0000A9000000}"/>
    <cellStyle name="Per cent" xfId="204" builtinId="5"/>
    <cellStyle name="Percent [0]" xfId="137" xr:uid="{00000000-0005-0000-0000-0000AB000000}"/>
    <cellStyle name="Percent [00]" xfId="138" xr:uid="{00000000-0005-0000-0000-0000AC000000}"/>
    <cellStyle name="Percent [2]" xfId="139" xr:uid="{00000000-0005-0000-0000-0000AD000000}"/>
    <cellStyle name="Percent 2" xfId="140" xr:uid="{00000000-0005-0000-0000-0000AE000000}"/>
    <cellStyle name="Percent 2 2" xfId="141" xr:uid="{00000000-0005-0000-0000-0000AF000000}"/>
    <cellStyle name="Percent 2 3" xfId="142" xr:uid="{00000000-0005-0000-0000-0000B0000000}"/>
    <cellStyle name="Percent 3" xfId="143" xr:uid="{00000000-0005-0000-0000-0000B1000000}"/>
    <cellStyle name="Percent 4" xfId="144" xr:uid="{00000000-0005-0000-0000-0000B2000000}"/>
    <cellStyle name="Percent 5" xfId="145" xr:uid="{00000000-0005-0000-0000-0000B3000000}"/>
    <cellStyle name="Percent 6" xfId="146" xr:uid="{00000000-0005-0000-0000-0000B4000000}"/>
    <cellStyle name="PrePop Currency (0)" xfId="147" xr:uid="{00000000-0005-0000-0000-0000B5000000}"/>
    <cellStyle name="PrePop Currency (2)" xfId="148" xr:uid="{00000000-0005-0000-0000-0000B6000000}"/>
    <cellStyle name="PrePop Units (0)" xfId="149" xr:uid="{00000000-0005-0000-0000-0000B7000000}"/>
    <cellStyle name="PrePop Units (1)" xfId="150" xr:uid="{00000000-0005-0000-0000-0000B8000000}"/>
    <cellStyle name="PrePop Units (2)" xfId="151" xr:uid="{00000000-0005-0000-0000-0000B9000000}"/>
    <cellStyle name="Red" xfId="152" xr:uid="{00000000-0005-0000-0000-0000BA000000}"/>
    <cellStyle name="Sheet Title" xfId="153" xr:uid="{00000000-0005-0000-0000-0000BB000000}"/>
    <cellStyle name="Style 1" xfId="154" xr:uid="{00000000-0005-0000-0000-0000BC000000}"/>
    <cellStyle name="Text Indent A" xfId="155" xr:uid="{00000000-0005-0000-0000-0000BD000000}"/>
    <cellStyle name="Text Indent B" xfId="156" xr:uid="{00000000-0005-0000-0000-0000BE000000}"/>
    <cellStyle name="Text Indent C" xfId="157" xr:uid="{00000000-0005-0000-0000-0000BF000000}"/>
    <cellStyle name="Title 2" xfId="158" xr:uid="{00000000-0005-0000-0000-0000C0000000}"/>
    <cellStyle name="Total 2" xfId="159" xr:uid="{00000000-0005-0000-0000-0000C1000000}"/>
    <cellStyle name="totalrow" xfId="160" xr:uid="{00000000-0005-0000-0000-0000C2000000}"/>
    <cellStyle name="Währung [0]_RESULTS" xfId="161" xr:uid="{00000000-0005-0000-0000-0000C3000000}"/>
    <cellStyle name="Währung_RESULTS" xfId="162" xr:uid="{00000000-0005-0000-0000-0000C4000000}"/>
    <cellStyle name="Warning Text 2" xfId="163" xr:uid="{00000000-0005-0000-0000-0000C5000000}"/>
    <cellStyle name="똿뗦먛귟 [0.00]_PRODUCT DETAIL Q1" xfId="164" xr:uid="{00000000-0005-0000-0000-0000C6000000}"/>
    <cellStyle name="똿뗦먛귟_PRODUCT DETAIL Q1" xfId="165" xr:uid="{00000000-0005-0000-0000-0000C7000000}"/>
    <cellStyle name="믅됞 [0.00]_PRODUCT DETAIL Q1" xfId="166" xr:uid="{00000000-0005-0000-0000-0000C8000000}"/>
    <cellStyle name="믅됞_PRODUCT DETAIL Q1" xfId="167" xr:uid="{00000000-0005-0000-0000-0000C9000000}"/>
    <cellStyle name="백분율_HOBONG" xfId="168" xr:uid="{00000000-0005-0000-0000-0000CA000000}"/>
    <cellStyle name="뷭?_BOOKSHIP" xfId="169" xr:uid="{00000000-0005-0000-0000-0000CB000000}"/>
    <cellStyle name="콤마 [0]_1202" xfId="170" xr:uid="{00000000-0005-0000-0000-0000CC000000}"/>
    <cellStyle name="콤마_1202" xfId="171" xr:uid="{00000000-0005-0000-0000-0000CD000000}"/>
    <cellStyle name="통화 [0]_1202" xfId="172" xr:uid="{00000000-0005-0000-0000-0000CE000000}"/>
    <cellStyle name="통화_1202" xfId="173" xr:uid="{00000000-0005-0000-0000-0000CF000000}"/>
    <cellStyle name="표준_(정보부문)월별인원계획" xfId="174" xr:uid="{00000000-0005-0000-0000-0000D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1168400</xdr:colOff>
          <xdr:row>6</xdr:row>
          <xdr:rowOff>127000</xdr:rowOff>
        </xdr:from>
        <xdr:to>
          <xdr:col>2</xdr:col>
          <xdr:colOff>2959100</xdr:colOff>
          <xdr:row>6</xdr:row>
          <xdr:rowOff>749300</xdr:rowOff>
        </xdr:to>
        <xdr:sp macro="" textlink="">
          <xdr:nvSpPr>
            <xdr:cNvPr id="4097" name="Object 1" hidden="1">
              <a:extLst>
                <a:ext uri="{63B3BB69-23CF-44E3-9099-C40C66FF867C}">
                  <a14:compatExt spid="_x0000_s4097"/>
                </a:ext>
                <a:ext uri="{FF2B5EF4-FFF2-40B4-BE49-F238E27FC236}">
                  <a16:creationId xmlns:a16="http://schemas.microsoft.com/office/drawing/2014/main" id="{DB690B16-62EC-8921-849B-BF70CF80773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1168400</xdr:colOff>
          <xdr:row>43</xdr:row>
          <xdr:rowOff>292100</xdr:rowOff>
        </xdr:from>
        <xdr:to>
          <xdr:col>2</xdr:col>
          <xdr:colOff>2387600</xdr:colOff>
          <xdr:row>43</xdr:row>
          <xdr:rowOff>647700</xdr:rowOff>
        </xdr:to>
        <xdr:sp macro="" textlink="">
          <xdr:nvSpPr>
            <xdr:cNvPr id="4098" name="Object 2" hidden="1">
              <a:extLst>
                <a:ext uri="{63B3BB69-23CF-44E3-9099-C40C66FF867C}">
                  <a14:compatExt spid="_x0000_s4098"/>
                </a:ext>
                <a:ext uri="{FF2B5EF4-FFF2-40B4-BE49-F238E27FC236}">
                  <a16:creationId xmlns:a16="http://schemas.microsoft.com/office/drawing/2014/main" id="{A1DD683D-E858-45FE-FF9C-E6C39ED4FD6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1219200</xdr:colOff>
          <xdr:row>64</xdr:row>
          <xdr:rowOff>177800</xdr:rowOff>
        </xdr:from>
        <xdr:to>
          <xdr:col>2</xdr:col>
          <xdr:colOff>3009900</xdr:colOff>
          <xdr:row>64</xdr:row>
          <xdr:rowOff>812800</xdr:rowOff>
        </xdr:to>
        <xdr:sp macro="" textlink="">
          <xdr:nvSpPr>
            <xdr:cNvPr id="4099" name="Object 3" hidden="1">
              <a:extLst>
                <a:ext uri="{63B3BB69-23CF-44E3-9099-C40C66FF867C}">
                  <a14:compatExt spid="_x0000_s4099"/>
                </a:ext>
                <a:ext uri="{FF2B5EF4-FFF2-40B4-BE49-F238E27FC236}">
                  <a16:creationId xmlns:a16="http://schemas.microsoft.com/office/drawing/2014/main" id="{7023F9A4-E603-1E84-059E-D64DD730883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1168400</xdr:colOff>
          <xdr:row>6</xdr:row>
          <xdr:rowOff>127000</xdr:rowOff>
        </xdr:from>
        <xdr:to>
          <xdr:col>2</xdr:col>
          <xdr:colOff>2959100</xdr:colOff>
          <xdr:row>6</xdr:row>
          <xdr:rowOff>749300</xdr:rowOff>
        </xdr:to>
        <xdr:sp macro="" textlink="">
          <xdr:nvSpPr>
            <xdr:cNvPr id="4100" name="Object 4" hidden="1">
              <a:extLst>
                <a:ext uri="{63B3BB69-23CF-44E3-9099-C40C66FF867C}">
                  <a14:compatExt spid="_x0000_s4100"/>
                </a:ext>
                <a:ext uri="{FF2B5EF4-FFF2-40B4-BE49-F238E27FC236}">
                  <a16:creationId xmlns:a16="http://schemas.microsoft.com/office/drawing/2014/main" id="{4F747B35-0C51-F1F6-1C9D-6C6BD01D182E}"/>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1168400</xdr:colOff>
          <xdr:row>43</xdr:row>
          <xdr:rowOff>304800</xdr:rowOff>
        </xdr:from>
        <xdr:to>
          <xdr:col>2</xdr:col>
          <xdr:colOff>2387600</xdr:colOff>
          <xdr:row>43</xdr:row>
          <xdr:rowOff>660400</xdr:rowOff>
        </xdr:to>
        <xdr:sp macro="" textlink="">
          <xdr:nvSpPr>
            <xdr:cNvPr id="4101" name="Object 5" hidden="1">
              <a:extLst>
                <a:ext uri="{63B3BB69-23CF-44E3-9099-C40C66FF867C}">
                  <a14:compatExt spid="_x0000_s4101"/>
                </a:ext>
                <a:ext uri="{FF2B5EF4-FFF2-40B4-BE49-F238E27FC236}">
                  <a16:creationId xmlns:a16="http://schemas.microsoft.com/office/drawing/2014/main" id="{FC4F0A8D-56BD-BD6D-02C2-F6D3881D060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1219200</xdr:colOff>
          <xdr:row>64</xdr:row>
          <xdr:rowOff>177800</xdr:rowOff>
        </xdr:from>
        <xdr:to>
          <xdr:col>2</xdr:col>
          <xdr:colOff>3009900</xdr:colOff>
          <xdr:row>64</xdr:row>
          <xdr:rowOff>812800</xdr:rowOff>
        </xdr:to>
        <xdr:sp macro="" textlink="">
          <xdr:nvSpPr>
            <xdr:cNvPr id="4102" name="Object 6" hidden="1">
              <a:extLst>
                <a:ext uri="{63B3BB69-23CF-44E3-9099-C40C66FF867C}">
                  <a14:compatExt spid="_x0000_s4102"/>
                </a:ext>
                <a:ext uri="{FF2B5EF4-FFF2-40B4-BE49-F238E27FC236}">
                  <a16:creationId xmlns:a16="http://schemas.microsoft.com/office/drawing/2014/main" id="{B2830C04-C911-3BE3-AEEF-ACCDD313888C}"/>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1168400</xdr:colOff>
          <xdr:row>6</xdr:row>
          <xdr:rowOff>254000</xdr:rowOff>
        </xdr:from>
        <xdr:to>
          <xdr:col>2</xdr:col>
          <xdr:colOff>2387600</xdr:colOff>
          <xdr:row>6</xdr:row>
          <xdr:rowOff>571500</xdr:rowOff>
        </xdr:to>
        <xdr:sp macro="" textlink="">
          <xdr:nvSpPr>
            <xdr:cNvPr id="7169" name="Object 1" hidden="1">
              <a:extLst>
                <a:ext uri="{63B3BB69-23CF-44E3-9099-C40C66FF867C}">
                  <a14:compatExt spid="_x0000_s7169"/>
                </a:ext>
                <a:ext uri="{FF2B5EF4-FFF2-40B4-BE49-F238E27FC236}">
                  <a16:creationId xmlns:a16="http://schemas.microsoft.com/office/drawing/2014/main" id="{C59B5175-C335-A174-F6FA-845FE8E73F4F}"/>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1168400</xdr:colOff>
          <xdr:row>40</xdr:row>
          <xdr:rowOff>292100</xdr:rowOff>
        </xdr:from>
        <xdr:to>
          <xdr:col>2</xdr:col>
          <xdr:colOff>2387600</xdr:colOff>
          <xdr:row>40</xdr:row>
          <xdr:rowOff>647700</xdr:rowOff>
        </xdr:to>
        <xdr:sp macro="" textlink="">
          <xdr:nvSpPr>
            <xdr:cNvPr id="7170" name="Object 2" hidden="1">
              <a:extLst>
                <a:ext uri="{63B3BB69-23CF-44E3-9099-C40C66FF867C}">
                  <a14:compatExt spid="_x0000_s7170"/>
                </a:ext>
                <a:ext uri="{FF2B5EF4-FFF2-40B4-BE49-F238E27FC236}">
                  <a16:creationId xmlns:a16="http://schemas.microsoft.com/office/drawing/2014/main" id="{A4330DD1-45DE-ED65-EE66-890D38AD816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1168400</xdr:colOff>
          <xdr:row>76</xdr:row>
          <xdr:rowOff>292100</xdr:rowOff>
        </xdr:from>
        <xdr:to>
          <xdr:col>2</xdr:col>
          <xdr:colOff>2387600</xdr:colOff>
          <xdr:row>76</xdr:row>
          <xdr:rowOff>647700</xdr:rowOff>
        </xdr:to>
        <xdr:sp macro="" textlink="">
          <xdr:nvSpPr>
            <xdr:cNvPr id="7171" name="Object 3" hidden="1">
              <a:extLst>
                <a:ext uri="{63B3BB69-23CF-44E3-9099-C40C66FF867C}">
                  <a14:compatExt spid="_x0000_s7171"/>
                </a:ext>
                <a:ext uri="{FF2B5EF4-FFF2-40B4-BE49-F238E27FC236}">
                  <a16:creationId xmlns:a16="http://schemas.microsoft.com/office/drawing/2014/main" id="{154E66B6-F911-A0C4-AB0E-6F0CA8263E9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1168400</xdr:colOff>
          <xdr:row>4</xdr:row>
          <xdr:rowOff>127000</xdr:rowOff>
        </xdr:from>
        <xdr:to>
          <xdr:col>2</xdr:col>
          <xdr:colOff>2794000</xdr:colOff>
          <xdr:row>4</xdr:row>
          <xdr:rowOff>825500</xdr:rowOff>
        </xdr:to>
        <xdr:sp macro="" textlink="">
          <xdr:nvSpPr>
            <xdr:cNvPr id="5121" name="Object 1" hidden="1">
              <a:extLst>
                <a:ext uri="{63B3BB69-23CF-44E3-9099-C40C66FF867C}">
                  <a14:compatExt spid="_x0000_s5121"/>
                </a:ext>
                <a:ext uri="{FF2B5EF4-FFF2-40B4-BE49-F238E27FC236}">
                  <a16:creationId xmlns:a16="http://schemas.microsoft.com/office/drawing/2014/main" id="{DF6480CB-A933-B4BB-D4D5-83DBF29712EA}"/>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17</xdr:col>
      <xdr:colOff>200025</xdr:colOff>
      <xdr:row>0</xdr:row>
      <xdr:rowOff>269834</xdr:rowOff>
    </xdr:from>
    <xdr:to>
      <xdr:col>18</xdr:col>
      <xdr:colOff>64770</xdr:colOff>
      <xdr:row>3</xdr:row>
      <xdr:rowOff>47624</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745825" y="269834"/>
          <a:ext cx="664845" cy="66361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c/GANESHA/GANESHA1/MIS2/GEB_Anand/SHP_TD_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ECH/CBS/SOP%202007-08%20to%202013-14/2013-14/SOP%20%20QTR%20JULY%20%2013%20to%20SEPT%2013/J%20E%20TECH-1/RELiability%20&amp;%20Saifi,Saidi,Maifi06-07/DGP/MIS/Documents%20and%20Settings/NEW%20USER/My%20Documents/DGP/DETAILS/Mpzp12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KP/SOP/J%20E%20TECH-1/RELiability%20&amp;%20Saifi,Saidi,Maifi06-07/DGP/MIS/Documents%20and%20Settings/NEW%20USER/My%20Documents/DGP/DETAILS/MPZPJAN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Documents%20and%20Settings/Puneet/Local%20Settings/Temporary%20Internet%20Files/Content.IE5/TCSFHXSL/CEDEDCL_Appraisal-SBIWork-CAp.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GHP/SOP-DGVCL/2019-20/Q1/J%20E%20TECH-1/RELiability%20&amp;%20Saifi,Saidi,Maifi06-07/DGP/MIS/Documents%20and%20Settings/NEW%20USER/My%20Documents/DGP/DETAILS/Mpzp12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guvnl/Desktop/GUVNL%20UDAY%20Monitoring%20Formats%20%2001-2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SMPATEL/F.Y.%202021-22/SOP%20-%20Desai%20Sir/Final%20%20PFC%20Data%20Format%20Template_Q3%2018-19%2013%2003%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p_T_D_drive"/>
      <sheetName val="do"/>
      <sheetName val="shp_T&amp;D_drive"/>
      <sheetName val="shp_T&amp;D_drive (2)"/>
      <sheetName val="shp_sch"/>
      <sheetName val="And_City"/>
      <sheetName val="shp_td-comp sep"/>
      <sheetName val="Chart1"/>
      <sheetName val="Chart2"/>
      <sheetName val="Shp-25 fdrs comp sep"/>
      <sheetName val="shp_divisionwise_units"/>
      <sheetName val="shp_divisionwise_units jul-00  "/>
      <sheetName val="Shp-sdn wise data  s"/>
      <sheetName val="Shp-25 fdrs data  s"/>
      <sheetName val="Shp-sdn wise_GIDC Sep"/>
      <sheetName val="Shp-sdn wise_ind fdrs sep"/>
      <sheetName val="shp_urb_tst"/>
      <sheetName val="Shp-sdn wise_Urban fdrs"/>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mpmla wise pp01_02"/>
      <sheetName val="mpmla wise pp0001"/>
      <sheetName val="zpF0001"/>
      <sheetName val="Recovered_Sheet5"/>
      <sheetName val="LMAIN"/>
      <sheetName val="TLPPOCT"/>
      <sheetName val="mpmla wise pp02_03"/>
      <sheetName val="SuvP_Ltg_Catwise"/>
      <sheetName val="PP_Ltg_Catwise"/>
      <sheetName val="SuvP_Ind_Catwise "/>
      <sheetName val="PP_Ind_Catwise "/>
      <sheetName val="CDSteelMaster"/>
      <sheetName val="MTHWISE FAIL"/>
      <sheetName val="PASTE"/>
      <sheetName val="REF"/>
      <sheetName val="ATCFMPAPR-16 (mod)"/>
      <sheetName val="ATCFMPMAY-15 (mod)"/>
      <sheetName val="ATCFMPMAY-16 (mod)"/>
      <sheetName val="SDN-Catwise  (MOD) "/>
      <sheetName val="SDN-Catwise  (MOD)HTADV.BILLING"/>
      <sheetName val="ZP01_02SPILL_TALWISE"/>
      <sheetName val="PRO_39_C"/>
      <sheetName val="HTVR CO_"/>
      <sheetName val="SHP_TD_00"/>
      <sheetName val="T_D COMP"/>
      <sheetName val="Sheet2"/>
      <sheetName val="Book1"/>
      <sheetName val="FDR M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y-mpmla"/>
      <sheetName val="GOKUL"/>
      <sheetName val="yw mpmlaws sumary"/>
      <sheetName val="mpmla WC_01_02 "/>
      <sheetName val="mpmla wise pp01_02"/>
      <sheetName val="KJ-Patrak-2"/>
      <sheetName val="zp01_02_SPILL"/>
      <sheetName val="ZP01_02SPILL_TALWISE"/>
      <sheetName val="ZPA01"/>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mpmla wise pp01_02 sept"/>
      <sheetName val="mpmla wise pp01_02 sept_distws"/>
      <sheetName val="mpmla wise pp01_02 nov"/>
      <sheetName val="mpmla wise pp01_02 Dec"/>
      <sheetName val="shp_T&amp;D_driv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992000"/>
      <sheetName val="mpwc0001"/>
      <sheetName val="mpwc9900"/>
      <sheetName val="yw mpmlaws sumary"/>
      <sheetName val="mpmla wise pp0001"/>
      <sheetName val="ZP0001"/>
      <sheetName val="ZPM"/>
      <sheetName val="zpmar00"/>
      <sheetName val="zpF0001"/>
      <sheetName val="ZPA01"/>
      <sheetName val="ZP URBAN IV_V"/>
      <sheetName val="ZP PROF II"/>
      <sheetName val="ZP PROF III "/>
      <sheetName val="ggy-mpmla"/>
      <sheetName val="Sorted_mpmla wise pp0001"/>
      <sheetName val="mpmla DIST wise pp0001"/>
      <sheetName val="mpmla wise pp0001 (2)"/>
      <sheetName val="shp_T&amp;D_drive"/>
      <sheetName val="mpmla wise pp01_02"/>
      <sheetName val="Assump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Assumptions"/>
      <sheetName val="Projections"/>
      <sheetName val="CMA"/>
      <sheetName val="shp_T&amp;D_drive"/>
      <sheetName val="CDSteelMaster"/>
      <sheetName val="CEDEDCL_Appraisal-SBIWork-CAp"/>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y-mpmla"/>
      <sheetName val="GOKUL"/>
      <sheetName val="yw mpmlaws sumary"/>
      <sheetName val="mpmla WC_01_02 "/>
      <sheetName val="mpmla wise pp01_02"/>
      <sheetName val="KJ-Patrak-2"/>
      <sheetName val="zp01_02_SPILL"/>
      <sheetName val="ZP01_02SPILL_TALWISE"/>
      <sheetName val="ZPA01"/>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mpmla wise pp01_02 sept"/>
      <sheetName val="mpmla wise pp01_02 sept_distws"/>
      <sheetName val="mpmla wise pp01_02 nov"/>
      <sheetName val="mpmla wise pp01_02 Dec"/>
      <sheetName val="mpmla wise pp00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ery "/>
      <sheetName val="ATC Loss"/>
      <sheetName val="Gap"/>
      <sheetName val="Feeder Metering-Rural"/>
      <sheetName val="Feeder Metering-Urban"/>
      <sheetName val="DT Metering"/>
      <sheetName val="Feeder Audit"/>
      <sheetName val="Feeder Improvement Program"/>
      <sheetName val="Feeder Separation"/>
      <sheetName val="Smart Metering"/>
      <sheetName val="Domestic Conn"/>
      <sheetName val="ERP"/>
      <sheetName val="DELP"/>
      <sheetName val="AG Pumps"/>
      <sheetName val="LED Light"/>
      <sheetName val="Name Shame"/>
      <sheetName val="overall fund"/>
      <sheetName val="Transmission Loss"/>
      <sheetName val="Tariff Revision"/>
      <sheetName val="RPO"/>
      <sheetName val="Bonds"/>
      <sheetName val="Income &amp; OFR"/>
      <sheetName val="Expenditure"/>
      <sheetName val="Payables &amp; Receivables"/>
      <sheetName val="Loans"/>
      <sheetName val="Receivables "/>
      <sheetName val="Coal 2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5">
          <cell r="A5" t="str">
            <v>Quarter ending:June-2016</v>
          </cell>
        </row>
      </sheetData>
      <sheetData sheetId="18" refreshError="1"/>
      <sheetData sheetId="19" refreshError="1"/>
      <sheetData sheetId="20">
        <row r="4">
          <cell r="A4" t="str">
            <v>Name of State: Gujarat</v>
          </cell>
        </row>
      </sheetData>
      <sheetData sheetId="21" refreshError="1"/>
      <sheetData sheetId="22" refreshError="1"/>
      <sheetData sheetId="23" refreshError="1"/>
      <sheetData sheetId="24">
        <row r="4">
          <cell r="A4" t="str">
            <v>Name of State: Gujarat</v>
          </cell>
        </row>
      </sheetData>
      <sheetData sheetId="25" refreshError="1"/>
      <sheetData sheetId="2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P_17-18 (2)"/>
      <sheetName val="1.SOP_18-19 Up to Dec-18"/>
      <sheetName val="revenue 17-18"/>
      <sheetName val="Index"/>
      <sheetName val="Income &amp; OFR"/>
      <sheetName val="1.Input - Income"/>
      <sheetName val="2.Input - Expenditure"/>
      <sheetName val="3.Input - AT&amp;C"/>
      <sheetName val="4.Input - Power Supply"/>
      <sheetName val="5.Input - Metering"/>
      <sheetName val="6.Input - Loan"/>
      <sheetName val="7.Input - Regulatory"/>
      <sheetName val="Ann-B"/>
      <sheetName val="Sheet1"/>
      <sheetName val="PP 2018-19"/>
      <sheetName val="Sheet2"/>
    </sheetNames>
    <sheetDataSet>
      <sheetData sheetId="0"/>
      <sheetData sheetId="1"/>
      <sheetData sheetId="2"/>
      <sheetData sheetId="3"/>
      <sheetData sheetId="4"/>
      <sheetData sheetId="5">
        <row r="12">
          <cell r="P12">
            <v>11625.63</v>
          </cell>
        </row>
        <row r="13">
          <cell r="W13">
            <v>161.59</v>
          </cell>
        </row>
        <row r="14">
          <cell r="W14">
            <v>48.59</v>
          </cell>
        </row>
      </sheetData>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oleObject" Target="../embeddings/oleObject4.bin"/><Relationship Id="rId3" Type="http://schemas.openxmlformats.org/officeDocument/2006/relationships/vmlDrawing" Target="../drawings/vmlDrawing1.vml"/><Relationship Id="rId7" Type="http://schemas.openxmlformats.org/officeDocument/2006/relationships/oleObject" Target="../embeddings/oleObject3.bin"/><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png"/><Relationship Id="rId10" Type="http://schemas.openxmlformats.org/officeDocument/2006/relationships/oleObject" Target="../embeddings/oleObject6.bin"/><Relationship Id="rId4" Type="http://schemas.openxmlformats.org/officeDocument/2006/relationships/oleObject" Target="../embeddings/oleObject1.bin"/><Relationship Id="rId9" Type="http://schemas.openxmlformats.org/officeDocument/2006/relationships/oleObject" Target="../embeddings/oleObject5.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9.bin"/><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oleObject" Target="../embeddings/oleObject8.bin"/><Relationship Id="rId5" Type="http://schemas.openxmlformats.org/officeDocument/2006/relationships/image" Target="../media/image1.png"/><Relationship Id="rId4" Type="http://schemas.openxmlformats.org/officeDocument/2006/relationships/oleObject" Target="../embeddings/oleObject7.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1.png"/><Relationship Id="rId4" Type="http://schemas.openxmlformats.org/officeDocument/2006/relationships/oleObject" Target="../embeddings/oleObject10.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95"/>
  <sheetViews>
    <sheetView zoomScaleSheetLayoutView="85" workbookViewId="0">
      <selection activeCell="G32" sqref="G32"/>
    </sheetView>
  </sheetViews>
  <sheetFormatPr baseColWidth="10" defaultColWidth="15.33203125" defaultRowHeight="15"/>
  <cols>
    <col min="1" max="2" width="4.6640625" style="2" customWidth="1"/>
    <col min="3" max="3" width="51" style="3" customWidth="1"/>
    <col min="4" max="6" width="15.33203125" style="3" customWidth="1"/>
    <col min="7" max="7" width="15.5" style="1" customWidth="1"/>
    <col min="8" max="8" width="14.5" style="1" customWidth="1"/>
    <col min="9" max="9" width="12.5" style="1" customWidth="1"/>
    <col min="10" max="10" width="15" style="1" customWidth="1"/>
    <col min="11" max="11" width="10.6640625" style="1" customWidth="1"/>
    <col min="12" max="32" width="9.1640625" style="1" customWidth="1"/>
    <col min="33" max="33" width="16.1640625" style="1" customWidth="1"/>
    <col min="34" max="34" width="9.83203125" style="1" customWidth="1"/>
    <col min="35" max="231" width="9.1640625" style="1" customWidth="1"/>
    <col min="232" max="232" width="4.6640625" style="1" customWidth="1"/>
    <col min="233" max="233" width="0" style="1" hidden="1" customWidth="1"/>
    <col min="234" max="234" width="4.6640625" style="1" customWidth="1"/>
    <col min="235" max="235" width="48.1640625" style="1" bestFit="1" customWidth="1"/>
    <col min="236" max="16384" width="15.33203125" style="1"/>
  </cols>
  <sheetData>
    <row r="1" spans="1:39" ht="23">
      <c r="A1" s="578" t="s">
        <v>38</v>
      </c>
      <c r="B1" s="578"/>
      <c r="C1" s="578"/>
      <c r="D1" s="578"/>
      <c r="E1" s="578"/>
      <c r="F1" s="578"/>
      <c r="G1" s="578"/>
      <c r="H1" s="578"/>
    </row>
    <row r="2" spans="1:39" ht="0.75" customHeight="1"/>
    <row r="3" spans="1:39" ht="24" thickBot="1">
      <c r="A3" s="582" t="s">
        <v>39</v>
      </c>
      <c r="B3" s="582"/>
      <c r="C3" s="582"/>
      <c r="D3" s="582"/>
      <c r="E3" s="582"/>
      <c r="F3" s="582"/>
      <c r="G3" s="582"/>
      <c r="H3" s="582"/>
      <c r="I3" s="573" t="s">
        <v>40</v>
      </c>
      <c r="J3" s="573"/>
    </row>
    <row r="4" spans="1:39" ht="3" hidden="1" customHeight="1">
      <c r="A4" s="4"/>
      <c r="B4" s="4"/>
      <c r="C4" s="4"/>
      <c r="D4" s="2"/>
      <c r="E4" s="2"/>
      <c r="F4" s="2"/>
      <c r="G4" s="4"/>
      <c r="H4" s="4"/>
      <c r="I4" s="5"/>
      <c r="J4" s="5"/>
    </row>
    <row r="5" spans="1:39" ht="15.75" customHeight="1" thickBot="1">
      <c r="A5" s="6"/>
      <c r="B5" s="6"/>
      <c r="C5" s="7"/>
      <c r="D5" s="7"/>
      <c r="E5" s="580" t="s">
        <v>387</v>
      </c>
      <c r="F5" s="581"/>
      <c r="G5" s="583" t="s">
        <v>412</v>
      </c>
      <c r="H5" s="584"/>
      <c r="I5" s="585" t="s">
        <v>4</v>
      </c>
      <c r="J5" s="571"/>
    </row>
    <row r="6" spans="1:39" ht="0.75" customHeight="1" thickBot="1">
      <c r="A6" s="8"/>
      <c r="B6" s="9"/>
      <c r="C6" s="10"/>
      <c r="D6" s="10"/>
      <c r="E6" s="10"/>
      <c r="F6" s="10"/>
      <c r="G6" s="174"/>
      <c r="H6" s="174"/>
      <c r="I6" s="10"/>
      <c r="J6" s="81"/>
    </row>
    <row r="7" spans="1:39" s="234" customFormat="1" ht="63.75" customHeight="1" thickBot="1">
      <c r="A7" s="227" t="s">
        <v>41</v>
      </c>
      <c r="B7" s="228"/>
      <c r="C7" s="229"/>
      <c r="D7" s="230"/>
      <c r="E7" s="227" t="s">
        <v>388</v>
      </c>
      <c r="F7" s="231" t="s">
        <v>134</v>
      </c>
      <c r="G7" s="227" t="s">
        <v>389</v>
      </c>
      <c r="H7" s="231" t="s">
        <v>135</v>
      </c>
      <c r="I7" s="232" t="s">
        <v>136</v>
      </c>
      <c r="J7" s="233" t="s">
        <v>137</v>
      </c>
    </row>
    <row r="8" spans="1:39" s="20" customFormat="1" ht="18">
      <c r="A8" s="18" t="s">
        <v>42</v>
      </c>
      <c r="B8" s="318"/>
      <c r="C8" s="19" t="s">
        <v>43</v>
      </c>
      <c r="D8" s="319"/>
      <c r="E8" s="319"/>
      <c r="F8" s="319"/>
      <c r="G8" s="320"/>
      <c r="H8" s="320"/>
      <c r="I8" s="320"/>
      <c r="J8" s="321"/>
    </row>
    <row r="9" spans="1:39" s="20" customFormat="1" ht="0.75" customHeight="1">
      <c r="A9" s="21"/>
      <c r="B9" s="22"/>
      <c r="C9" s="23"/>
      <c r="D9" s="211"/>
      <c r="E9" s="211"/>
      <c r="F9" s="211"/>
      <c r="G9" s="322"/>
      <c r="H9" s="322"/>
      <c r="I9" s="322"/>
      <c r="J9" s="323"/>
    </row>
    <row r="10" spans="1:39" s="315" customFormat="1">
      <c r="A10" s="24"/>
      <c r="B10" s="25">
        <v>1</v>
      </c>
      <c r="C10" s="130" t="s">
        <v>44</v>
      </c>
      <c r="D10" s="27" t="s">
        <v>127</v>
      </c>
      <c r="E10" s="28">
        <v>20</v>
      </c>
      <c r="F10" s="28">
        <f>+E10</f>
        <v>20</v>
      </c>
      <c r="G10" s="28">
        <v>13</v>
      </c>
      <c r="H10" s="28">
        <f>+G10</f>
        <v>13</v>
      </c>
      <c r="I10" s="208">
        <f t="shared" ref="I10:J12" si="0">E10/G10-100%</f>
        <v>0.53846153846153855</v>
      </c>
      <c r="J10" s="208">
        <f t="shared" si="0"/>
        <v>0.53846153846153855</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row>
    <row r="11" spans="1:39" s="315" customFormat="1">
      <c r="A11" s="24"/>
      <c r="B11" s="25">
        <v>2</v>
      </c>
      <c r="C11" s="130" t="s">
        <v>129</v>
      </c>
      <c r="D11" s="27" t="s">
        <v>45</v>
      </c>
      <c r="E11" s="28">
        <v>7641</v>
      </c>
      <c r="F11" s="28">
        <f t="shared" ref="F11:F12" si="1">+E11</f>
        <v>7641</v>
      </c>
      <c r="G11" s="28">
        <v>5552</v>
      </c>
      <c r="H11" s="207">
        <f>+G11</f>
        <v>5552</v>
      </c>
      <c r="I11" s="208">
        <f t="shared" si="0"/>
        <v>0.3762608069164266</v>
      </c>
      <c r="J11" s="208">
        <f t="shared" si="0"/>
        <v>0.3762608069164266</v>
      </c>
      <c r="K11" s="507"/>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row>
    <row r="12" spans="1:39" ht="16">
      <c r="A12" s="24"/>
      <c r="B12" s="25">
        <v>3</v>
      </c>
      <c r="C12" s="41" t="s">
        <v>46</v>
      </c>
      <c r="D12" s="27" t="s">
        <v>45</v>
      </c>
      <c r="E12" s="27">
        <v>390</v>
      </c>
      <c r="F12" s="28">
        <f t="shared" si="1"/>
        <v>390</v>
      </c>
      <c r="G12" s="27">
        <v>386</v>
      </c>
      <c r="H12" s="207">
        <f t="shared" ref="H12:H24" si="2">+G12</f>
        <v>386</v>
      </c>
      <c r="I12" s="208">
        <f t="shared" si="0"/>
        <v>1.0362694300518172E-2</v>
      </c>
      <c r="J12" s="208">
        <f t="shared" si="0"/>
        <v>1.0362694300518172E-2</v>
      </c>
    </row>
    <row r="13" spans="1:39">
      <c r="A13" s="24"/>
      <c r="B13" s="25"/>
      <c r="C13" s="34" t="s">
        <v>47</v>
      </c>
      <c r="D13" s="25" t="s">
        <v>45</v>
      </c>
      <c r="E13" s="27"/>
      <c r="F13" s="27"/>
      <c r="G13" s="28"/>
      <c r="H13" s="207">
        <f t="shared" si="2"/>
        <v>0</v>
      </c>
      <c r="I13" s="32"/>
      <c r="J13" s="35"/>
    </row>
    <row r="14" spans="1:39" s="20" customFormat="1" ht="17.25" customHeight="1">
      <c r="A14" s="21"/>
      <c r="B14" s="22"/>
      <c r="C14" s="23" t="s">
        <v>48</v>
      </c>
      <c r="D14" s="25" t="s">
        <v>45</v>
      </c>
      <c r="E14" s="28">
        <f>SUM(E10:E13)</f>
        <v>8051</v>
      </c>
      <c r="F14" s="28">
        <f>SUM(F10:F13)</f>
        <v>8051</v>
      </c>
      <c r="G14" s="28">
        <f>SUM(G10:G13)</f>
        <v>5951</v>
      </c>
      <c r="H14" s="207">
        <f t="shared" si="2"/>
        <v>5951</v>
      </c>
      <c r="I14" s="208">
        <f>E14/G14-100%</f>
        <v>0.35288186859351378</v>
      </c>
      <c r="J14" s="208">
        <f>F14/H14-100%</f>
        <v>0.35288186859351378</v>
      </c>
    </row>
    <row r="15" spans="1:39" s="20" customFormat="1" ht="2.25" hidden="1" customHeight="1">
      <c r="A15" s="21"/>
      <c r="B15" s="22"/>
      <c r="C15" s="23"/>
      <c r="D15" s="25"/>
      <c r="E15" s="27"/>
      <c r="F15" s="27"/>
      <c r="G15" s="28"/>
      <c r="H15" s="207">
        <f t="shared" si="2"/>
        <v>0</v>
      </c>
      <c r="I15" s="32"/>
      <c r="J15" s="35"/>
    </row>
    <row r="16" spans="1:39" s="20" customFormat="1" ht="0.75" hidden="1" customHeight="1">
      <c r="A16" s="21"/>
      <c r="B16" s="22"/>
      <c r="C16" s="36"/>
      <c r="D16" s="25"/>
      <c r="E16" s="27"/>
      <c r="F16" s="27"/>
      <c r="G16" s="28"/>
      <c r="H16" s="207">
        <f t="shared" si="2"/>
        <v>0</v>
      </c>
      <c r="I16" s="32"/>
      <c r="J16" s="35"/>
    </row>
    <row r="17" spans="1:37" s="20" customFormat="1" ht="17.25" hidden="1" customHeight="1">
      <c r="A17" s="21"/>
      <c r="B17" s="22"/>
      <c r="C17" s="36"/>
      <c r="D17" s="25"/>
      <c r="E17" s="27"/>
      <c r="F17" s="27"/>
      <c r="G17" s="28"/>
      <c r="H17" s="207">
        <f t="shared" si="2"/>
        <v>0</v>
      </c>
      <c r="I17" s="32"/>
      <c r="J17" s="35"/>
    </row>
    <row r="18" spans="1:37" ht="3" hidden="1" customHeight="1">
      <c r="A18" s="24"/>
      <c r="B18" s="25"/>
      <c r="C18" s="31"/>
      <c r="D18" s="25"/>
      <c r="E18" s="27"/>
      <c r="F18" s="27"/>
      <c r="G18" s="28"/>
      <c r="H18" s="207">
        <f t="shared" si="2"/>
        <v>0</v>
      </c>
      <c r="I18" s="32"/>
      <c r="J18" s="35"/>
    </row>
    <row r="19" spans="1:37" hidden="1">
      <c r="A19" s="24"/>
      <c r="B19" s="25"/>
      <c r="C19" s="31"/>
      <c r="D19" s="25"/>
      <c r="E19" s="27"/>
      <c r="F19" s="27"/>
      <c r="G19" s="28"/>
      <c r="H19" s="207">
        <f t="shared" si="2"/>
        <v>0</v>
      </c>
      <c r="I19" s="32"/>
      <c r="J19" s="35"/>
    </row>
    <row r="20" spans="1:37" s="39" customFormat="1" ht="19">
      <c r="A20" s="37" t="s">
        <v>49</v>
      </c>
      <c r="B20" s="25"/>
      <c r="C20" s="36" t="s">
        <v>50</v>
      </c>
      <c r="D20" s="25"/>
      <c r="E20" s="27"/>
      <c r="F20" s="27"/>
      <c r="G20" s="28"/>
      <c r="H20" s="207">
        <f t="shared" si="2"/>
        <v>0</v>
      </c>
      <c r="I20" s="27"/>
      <c r="J20" s="38"/>
    </row>
    <row r="21" spans="1:37">
      <c r="A21" s="24"/>
      <c r="B21" s="25">
        <v>1</v>
      </c>
      <c r="C21" s="130" t="s">
        <v>51</v>
      </c>
      <c r="D21" s="27" t="s">
        <v>45</v>
      </c>
      <c r="E21" s="28">
        <v>8051</v>
      </c>
      <c r="F21" s="28">
        <f>+F14</f>
        <v>8051</v>
      </c>
      <c r="G21" s="28">
        <f>+G14</f>
        <v>5951</v>
      </c>
      <c r="H21" s="207">
        <f t="shared" si="2"/>
        <v>5951</v>
      </c>
      <c r="I21" s="208">
        <f t="shared" ref="I21:J23" si="3">E21/G21-100%</f>
        <v>0.35288186859351378</v>
      </c>
      <c r="J21" s="208">
        <f t="shared" si="3"/>
        <v>0.35288186859351378</v>
      </c>
    </row>
    <row r="22" spans="1:37">
      <c r="A22" s="24"/>
      <c r="B22" s="25">
        <v>2</v>
      </c>
      <c r="C22" s="130" t="s">
        <v>52</v>
      </c>
      <c r="D22" s="27" t="s">
        <v>45</v>
      </c>
      <c r="E22" s="28">
        <f>+E21</f>
        <v>8051</v>
      </c>
      <c r="F22" s="28">
        <f>+E22</f>
        <v>8051</v>
      </c>
      <c r="G22" s="28">
        <f>SUM(G19:G21)</f>
        <v>5951</v>
      </c>
      <c r="H22" s="207">
        <f t="shared" si="2"/>
        <v>5951</v>
      </c>
      <c r="I22" s="208">
        <f t="shared" si="3"/>
        <v>0.35288186859351378</v>
      </c>
      <c r="J22" s="208">
        <f t="shared" si="3"/>
        <v>0.35288186859351378</v>
      </c>
    </row>
    <row r="23" spans="1:37">
      <c r="A23" s="24"/>
      <c r="B23" s="25">
        <v>3</v>
      </c>
      <c r="C23" s="130" t="s">
        <v>53</v>
      </c>
      <c r="D23" s="27" t="s">
        <v>45</v>
      </c>
      <c r="E23" s="28">
        <v>7487</v>
      </c>
      <c r="F23" s="28">
        <f t="shared" ref="F23:F24" si="4">+E23</f>
        <v>7487</v>
      </c>
      <c r="G23" s="28">
        <v>5454</v>
      </c>
      <c r="H23" s="207">
        <f t="shared" si="2"/>
        <v>5454</v>
      </c>
      <c r="I23" s="208">
        <f t="shared" si="3"/>
        <v>0.37275394206087276</v>
      </c>
      <c r="J23" s="208">
        <f t="shared" si="3"/>
        <v>0.37275394206087276</v>
      </c>
    </row>
    <row r="24" spans="1:37" ht="16">
      <c r="A24" s="24"/>
      <c r="B24" s="25">
        <v>4</v>
      </c>
      <c r="C24" s="31" t="s">
        <v>54</v>
      </c>
      <c r="D24" s="25" t="s">
        <v>45</v>
      </c>
      <c r="E24" s="28">
        <f>+E22-E23</f>
        <v>564</v>
      </c>
      <c r="F24" s="28">
        <f t="shared" si="4"/>
        <v>564</v>
      </c>
      <c r="G24" s="28">
        <f>+G22-G23</f>
        <v>497</v>
      </c>
      <c r="H24" s="207">
        <f t="shared" si="2"/>
        <v>497</v>
      </c>
      <c r="I24" s="208">
        <f t="shared" ref="I24" si="5">E24/G24-100%</f>
        <v>0.13480885311871238</v>
      </c>
      <c r="J24" s="208">
        <f t="shared" ref="J24" si="6">F24/H24-100%</f>
        <v>0.13480885311871238</v>
      </c>
    </row>
    <row r="25" spans="1:37" s="20" customFormat="1" ht="19">
      <c r="A25" s="21"/>
      <c r="B25" s="22">
        <v>5</v>
      </c>
      <c r="C25" s="40" t="s">
        <v>55</v>
      </c>
      <c r="D25" s="25" t="s">
        <v>56</v>
      </c>
      <c r="E25" s="208">
        <f>E24/E22</f>
        <v>7.0053409514346049E-2</v>
      </c>
      <c r="F25" s="208">
        <f>F24/F22</f>
        <v>7.0053409514346049E-2</v>
      </c>
      <c r="G25" s="208">
        <f>G24/G22</f>
        <v>8.3515375567131581E-2</v>
      </c>
      <c r="H25" s="208">
        <f>H24/H22</f>
        <v>8.3515375567131581E-2</v>
      </c>
      <c r="I25" s="208"/>
      <c r="J25" s="208"/>
    </row>
    <row r="26" spans="1:37" ht="0.75" customHeight="1">
      <c r="A26" s="24"/>
      <c r="B26" s="25"/>
      <c r="C26" s="31"/>
      <c r="D26" s="25"/>
      <c r="E26" s="27"/>
      <c r="F26" s="27"/>
      <c r="G26" s="28"/>
      <c r="H26" s="28"/>
      <c r="I26" s="32"/>
      <c r="J26" s="35"/>
    </row>
    <row r="27" spans="1:37" hidden="1">
      <c r="A27" s="24"/>
      <c r="B27" s="25"/>
      <c r="C27" s="31"/>
      <c r="D27" s="25"/>
      <c r="E27" s="27"/>
      <c r="F27" s="27"/>
      <c r="G27" s="28"/>
      <c r="H27" s="28"/>
      <c r="I27" s="32"/>
      <c r="J27" s="35"/>
    </row>
    <row r="28" spans="1:37" ht="19">
      <c r="A28" s="21" t="s">
        <v>57</v>
      </c>
      <c r="B28" s="25"/>
      <c r="C28" s="36" t="s">
        <v>58</v>
      </c>
      <c r="D28" s="25"/>
      <c r="E28" s="27"/>
      <c r="F28" s="27"/>
      <c r="G28" s="28"/>
      <c r="H28" s="28"/>
      <c r="I28" s="32"/>
      <c r="J28" s="35"/>
    </row>
    <row r="29" spans="1:37" ht="17">
      <c r="A29" s="24"/>
      <c r="B29" s="25">
        <v>1</v>
      </c>
      <c r="C29" s="41" t="s">
        <v>59</v>
      </c>
      <c r="D29" s="27" t="s">
        <v>126</v>
      </c>
      <c r="E29" s="32">
        <f>E31-E30</f>
        <v>5460.93</v>
      </c>
      <c r="F29" s="32">
        <f>F31-F30</f>
        <v>5460.93</v>
      </c>
      <c r="G29" s="32">
        <v>3616.3</v>
      </c>
      <c r="H29" s="32">
        <f>+G29</f>
        <v>3616.3</v>
      </c>
      <c r="I29" s="208">
        <f t="shared" ref="I29:J34" si="7">E29/G29-100%</f>
        <v>0.51008765865663808</v>
      </c>
      <c r="J29" s="208">
        <f t="shared" si="7"/>
        <v>0.51008765865663808</v>
      </c>
    </row>
    <row r="30" spans="1:37" ht="17">
      <c r="A30" s="24"/>
      <c r="B30" s="25">
        <v>2</v>
      </c>
      <c r="C30" s="41" t="s">
        <v>61</v>
      </c>
      <c r="D30" s="27" t="s">
        <v>126</v>
      </c>
      <c r="E30" s="32">
        <v>14.65</v>
      </c>
      <c r="F30" s="32">
        <f>+E30</f>
        <v>14.65</v>
      </c>
      <c r="G30" s="32">
        <v>4.1100000000000003</v>
      </c>
      <c r="H30" s="32">
        <f t="shared" ref="H30:H34" si="8">+G30</f>
        <v>4.1100000000000003</v>
      </c>
      <c r="I30" s="208">
        <f t="shared" si="7"/>
        <v>2.5644768856447686</v>
      </c>
      <c r="J30" s="208">
        <f t="shared" si="7"/>
        <v>2.5644768856447686</v>
      </c>
      <c r="AG30" s="1">
        <v>989.08</v>
      </c>
      <c r="AH30" s="1">
        <v>487.48</v>
      </c>
      <c r="AI30" s="1">
        <v>676.41</v>
      </c>
      <c r="AJ30" s="1">
        <v>492.14</v>
      </c>
      <c r="AK30" s="1">
        <f>AG30+AH30+AI30+AJ30</f>
        <v>2645.1099999999997</v>
      </c>
    </row>
    <row r="31" spans="1:37" ht="17">
      <c r="A31" s="24"/>
      <c r="B31" s="25">
        <v>3</v>
      </c>
      <c r="C31" s="31" t="s">
        <v>62</v>
      </c>
      <c r="D31" s="25" t="s">
        <v>60</v>
      </c>
      <c r="E31" s="32">
        <f>'REVENUE DATA '!E54</f>
        <v>5475.58</v>
      </c>
      <c r="F31" s="32">
        <f>'REVENUE DATA '!F54</f>
        <v>5475.58</v>
      </c>
      <c r="G31" s="32">
        <v>3678.07</v>
      </c>
      <c r="H31" s="32">
        <f t="shared" si="8"/>
        <v>3678.07</v>
      </c>
      <c r="I31" s="208">
        <f t="shared" si="7"/>
        <v>0.48871011155306987</v>
      </c>
      <c r="J31" s="208">
        <f t="shared" si="7"/>
        <v>0.48871011155306987</v>
      </c>
      <c r="K31" s="30"/>
    </row>
    <row r="32" spans="1:37" ht="17">
      <c r="A32" s="24"/>
      <c r="B32" s="25">
        <v>4</v>
      </c>
      <c r="C32" s="41" t="s">
        <v>63</v>
      </c>
      <c r="D32" s="27" t="s">
        <v>126</v>
      </c>
      <c r="E32" s="32">
        <f>+E34-E33</f>
        <v>5260.6426120000006</v>
      </c>
      <c r="F32" s="32">
        <f>+F34-F33</f>
        <v>5260.6426120000006</v>
      </c>
      <c r="G32" s="32">
        <v>3335.99</v>
      </c>
      <c r="H32" s="32">
        <f t="shared" si="8"/>
        <v>3335.99</v>
      </c>
      <c r="I32" s="208">
        <f t="shared" si="7"/>
        <v>0.57693596563538896</v>
      </c>
      <c r="J32" s="208">
        <f t="shared" si="7"/>
        <v>0.57693596563538896</v>
      </c>
    </row>
    <row r="33" spans="1:37" ht="17">
      <c r="A33" s="24"/>
      <c r="B33" s="25">
        <v>5</v>
      </c>
      <c r="C33" s="41" t="s">
        <v>64</v>
      </c>
      <c r="D33" s="27" t="s">
        <v>126</v>
      </c>
      <c r="E33" s="32">
        <v>3.58</v>
      </c>
      <c r="F33" s="32">
        <f>+E33</f>
        <v>3.58</v>
      </c>
      <c r="G33" s="32">
        <v>0.94</v>
      </c>
      <c r="H33" s="32">
        <f t="shared" si="8"/>
        <v>0.94</v>
      </c>
      <c r="I33" s="208">
        <f t="shared" si="7"/>
        <v>2.8085106382978728</v>
      </c>
      <c r="J33" s="208">
        <f t="shared" si="7"/>
        <v>2.8085106382978728</v>
      </c>
      <c r="AG33" s="1">
        <v>222.54</v>
      </c>
      <c r="AH33" s="1">
        <v>109.11</v>
      </c>
      <c r="AI33" s="1">
        <v>326.95</v>
      </c>
      <c r="AJ33" s="1">
        <v>174.62</v>
      </c>
      <c r="AK33" s="1">
        <f>AG33+AH33+AI33+AJ33</f>
        <v>833.21999999999991</v>
      </c>
    </row>
    <row r="34" spans="1:37" ht="17">
      <c r="A34" s="24"/>
      <c r="B34" s="25">
        <v>6</v>
      </c>
      <c r="C34" s="31" t="s">
        <v>65</v>
      </c>
      <c r="D34" s="25" t="s">
        <v>60</v>
      </c>
      <c r="E34" s="32">
        <f>E31*E35</f>
        <v>5264.2226120000005</v>
      </c>
      <c r="F34" s="32">
        <f>F31*F35</f>
        <v>5264.2226120000005</v>
      </c>
      <c r="G34" s="32">
        <f>+G32+G33</f>
        <v>3336.93</v>
      </c>
      <c r="H34" s="32">
        <f t="shared" si="8"/>
        <v>3336.93</v>
      </c>
      <c r="I34" s="208">
        <f t="shared" si="7"/>
        <v>0.57756459140587335</v>
      </c>
      <c r="J34" s="208">
        <f t="shared" si="7"/>
        <v>0.57756459140587335</v>
      </c>
    </row>
    <row r="35" spans="1:37" s="20" customFormat="1" ht="35.25" customHeight="1" thickBot="1">
      <c r="A35" s="43"/>
      <c r="B35" s="44">
        <v>7</v>
      </c>
      <c r="C35" s="45" t="s">
        <v>66</v>
      </c>
      <c r="D35" s="44" t="s">
        <v>56</v>
      </c>
      <c r="E35" s="46">
        <v>0.96140000000000003</v>
      </c>
      <c r="F35" s="46">
        <v>0.96140000000000003</v>
      </c>
      <c r="G35" s="46">
        <v>0.89239999999999997</v>
      </c>
      <c r="H35" s="46">
        <f>+G35</f>
        <v>0.89239999999999997</v>
      </c>
      <c r="I35" s="208">
        <f>E35/G35-100%</f>
        <v>7.7319587628866149E-2</v>
      </c>
      <c r="J35" s="210">
        <f>J34/J31</f>
        <v>1.181814285713126</v>
      </c>
      <c r="AG35" s="206">
        <f>E31*E35</f>
        <v>5264.2226120000005</v>
      </c>
    </row>
    <row r="36" spans="1:37" ht="37.5" hidden="1" customHeight="1">
      <c r="A36" s="574"/>
      <c r="B36" s="574"/>
      <c r="C36" s="574"/>
      <c r="D36" s="574"/>
      <c r="E36" s="574"/>
      <c r="F36" s="574"/>
      <c r="G36" s="574"/>
      <c r="H36" s="574"/>
      <c r="I36" s="574"/>
      <c r="J36" s="574"/>
    </row>
    <row r="37" spans="1:37">
      <c r="G37" s="3"/>
      <c r="H37" s="3"/>
    </row>
    <row r="38" spans="1:37" ht="23">
      <c r="A38" s="578" t="s">
        <v>38</v>
      </c>
      <c r="B38" s="578"/>
      <c r="C38" s="578"/>
      <c r="D38" s="578"/>
      <c r="E38" s="578"/>
      <c r="F38" s="578"/>
      <c r="G38" s="578"/>
      <c r="H38" s="578"/>
    </row>
    <row r="40" spans="1:37" ht="24" thickBot="1">
      <c r="A40" s="578" t="s">
        <v>67</v>
      </c>
      <c r="B40" s="578"/>
      <c r="C40" s="578"/>
      <c r="D40" s="578"/>
      <c r="E40" s="578"/>
      <c r="F40" s="578"/>
      <c r="G40" s="578"/>
      <c r="H40" s="578"/>
      <c r="I40" s="579" t="s">
        <v>68</v>
      </c>
      <c r="J40" s="579"/>
    </row>
    <row r="41" spans="1:37" ht="0.75" customHeight="1" thickBot="1">
      <c r="A41" s="47"/>
      <c r="B41" s="48"/>
      <c r="C41" s="48"/>
      <c r="D41" s="49"/>
      <c r="E41" s="49"/>
      <c r="F41" s="49"/>
      <c r="G41" s="48"/>
      <c r="H41" s="48"/>
      <c r="I41" s="50"/>
      <c r="J41" s="51"/>
    </row>
    <row r="42" spans="1:37" ht="15.75" customHeight="1" thickBot="1">
      <c r="A42" s="52"/>
      <c r="B42" s="53"/>
      <c r="C42" s="54"/>
      <c r="D42" s="54"/>
      <c r="E42" s="580" t="str">
        <f>E5</f>
        <v>Current Year 22-23</v>
      </c>
      <c r="F42" s="581"/>
      <c r="G42" s="580" t="str">
        <f>G5</f>
        <v>Previous  Year 21-22*</v>
      </c>
      <c r="H42" s="581"/>
      <c r="I42" s="570" t="s">
        <v>4</v>
      </c>
      <c r="J42" s="571"/>
    </row>
    <row r="43" spans="1:37" ht="0.75" customHeight="1" thickBot="1">
      <c r="A43" s="55"/>
      <c r="B43" s="56"/>
      <c r="C43" s="57"/>
      <c r="D43" s="57"/>
      <c r="E43" s="10"/>
      <c r="F43" s="10"/>
      <c r="G43" s="11"/>
      <c r="H43" s="11"/>
      <c r="I43" s="12"/>
      <c r="J43" s="13"/>
    </row>
    <row r="44" spans="1:37" ht="67.5" customHeight="1" thickBot="1">
      <c r="A44" s="58"/>
      <c r="B44" s="6"/>
      <c r="C44" s="59"/>
      <c r="D44" s="6"/>
      <c r="E44" s="14" t="str">
        <f t="shared" ref="E44:J44" si="9">E7</f>
        <v>1st  Quarter Apr'22 to Jun'22</v>
      </c>
      <c r="F44" s="14" t="str">
        <f t="shared" si="9"/>
        <v xml:space="preserve">Cumulative Up to 1st quarter </v>
      </c>
      <c r="G44" s="14" t="str">
        <f>G7</f>
        <v>1st  Quarter  Apr'21 to Jun'21</v>
      </c>
      <c r="H44" s="16" t="str">
        <f>H7</f>
        <v>Cumulative Up to 1st quarter</v>
      </c>
      <c r="I44" s="16" t="str">
        <f t="shared" si="9"/>
        <v>1st Quarter</v>
      </c>
      <c r="J44" s="17" t="str">
        <f t="shared" si="9"/>
        <v>Cumulative up to 1st Qtr</v>
      </c>
    </row>
    <row r="45" spans="1:37" ht="18">
      <c r="A45" s="18" t="s">
        <v>42</v>
      </c>
      <c r="B45" s="60"/>
      <c r="C45" s="19" t="s">
        <v>69</v>
      </c>
      <c r="D45" s="60"/>
      <c r="E45" s="60"/>
      <c r="F45" s="60"/>
      <c r="G45" s="27"/>
      <c r="H45" s="27"/>
      <c r="I45" s="27"/>
      <c r="J45" s="27"/>
    </row>
    <row r="46" spans="1:37" ht="16">
      <c r="A46" s="24"/>
      <c r="B46" s="25">
        <v>1</v>
      </c>
      <c r="C46" s="26" t="s">
        <v>70</v>
      </c>
      <c r="D46" s="136" t="s">
        <v>71</v>
      </c>
      <c r="E46" s="32">
        <f>E66/E14*10</f>
        <v>6.586858775307415</v>
      </c>
      <c r="F46" s="32">
        <f>F66/F14*10</f>
        <v>6.586858775307415</v>
      </c>
      <c r="G46" s="32">
        <v>5.77</v>
      </c>
      <c r="H46" s="32">
        <f>+G46</f>
        <v>5.77</v>
      </c>
      <c r="I46" s="29">
        <f>(+E46-G46)/G46</f>
        <v>0.14156997838950008</v>
      </c>
      <c r="J46" s="29">
        <f>(+F46-H46)/H46</f>
        <v>0.14156997838950008</v>
      </c>
    </row>
    <row r="47" spans="1:37" ht="16">
      <c r="A47" s="24"/>
      <c r="B47" s="25">
        <v>2</v>
      </c>
      <c r="C47" s="130" t="s">
        <v>72</v>
      </c>
      <c r="D47" s="136" t="s">
        <v>71</v>
      </c>
      <c r="E47" s="61"/>
      <c r="F47" s="61"/>
      <c r="G47" s="27"/>
      <c r="H47" s="27"/>
      <c r="I47" s="32"/>
      <c r="J47" s="32"/>
    </row>
    <row r="48" spans="1:37" ht="16">
      <c r="A48" s="24"/>
      <c r="B48" s="25">
        <v>3</v>
      </c>
      <c r="C48" s="130" t="s">
        <v>73</v>
      </c>
      <c r="D48" s="136" t="s">
        <v>71</v>
      </c>
      <c r="E48" s="61"/>
      <c r="F48" s="61"/>
      <c r="G48" s="27"/>
      <c r="H48" s="27"/>
      <c r="I48" s="32"/>
      <c r="J48" s="32"/>
    </row>
    <row r="49" spans="1:10" ht="16">
      <c r="A49" s="24"/>
      <c r="B49" s="25">
        <v>4</v>
      </c>
      <c r="C49" s="130" t="s">
        <v>74</v>
      </c>
      <c r="D49" s="136" t="s">
        <v>71</v>
      </c>
      <c r="E49" s="61"/>
      <c r="F49" s="61"/>
      <c r="G49" s="27"/>
      <c r="H49" s="27"/>
      <c r="I49" s="32"/>
      <c r="J49" s="32"/>
    </row>
    <row r="50" spans="1:10" ht="16">
      <c r="A50" s="24"/>
      <c r="B50" s="25">
        <v>5</v>
      </c>
      <c r="C50" s="130" t="s">
        <v>75</v>
      </c>
      <c r="D50" s="136" t="s">
        <v>71</v>
      </c>
      <c r="E50" s="61"/>
      <c r="F50" s="61"/>
      <c r="G50" s="27"/>
      <c r="H50" s="27"/>
      <c r="I50" s="32"/>
      <c r="J50" s="32"/>
    </row>
    <row r="51" spans="1:10" s="20" customFormat="1" ht="18">
      <c r="A51" s="21"/>
      <c r="B51" s="137">
        <v>6</v>
      </c>
      <c r="C51" s="138" t="s">
        <v>76</v>
      </c>
      <c r="D51" s="139" t="s">
        <v>71</v>
      </c>
      <c r="E51" s="129">
        <f>SUM(E46:E50)</f>
        <v>6.586858775307415</v>
      </c>
      <c r="F51" s="129">
        <f>SUM(F46:F50)</f>
        <v>6.586858775307415</v>
      </c>
      <c r="G51" s="129">
        <f>SUM(G46:G50)</f>
        <v>5.77</v>
      </c>
      <c r="H51" s="129">
        <f>SUM(H46:H50)</f>
        <v>5.77</v>
      </c>
      <c r="I51" s="135">
        <f>(+E51-G51)/G51</f>
        <v>0.14156997838950008</v>
      </c>
      <c r="J51" s="135">
        <f>(+F51-H51)/H51</f>
        <v>0.14156997838950008</v>
      </c>
    </row>
    <row r="52" spans="1:10" s="20" customFormat="1" ht="3" hidden="1" customHeight="1">
      <c r="A52" s="21"/>
      <c r="B52" s="22"/>
      <c r="C52" s="62"/>
      <c r="D52" s="25"/>
      <c r="E52" s="25"/>
      <c r="F52" s="25"/>
      <c r="G52" s="27"/>
      <c r="H52" s="27"/>
      <c r="I52" s="32"/>
      <c r="J52" s="32"/>
    </row>
    <row r="53" spans="1:10" s="20" customFormat="1" ht="18">
      <c r="A53" s="21" t="s">
        <v>49</v>
      </c>
      <c r="B53" s="22"/>
      <c r="C53" s="62" t="s">
        <v>25</v>
      </c>
      <c r="D53" s="25"/>
      <c r="E53" s="25"/>
      <c r="F53" s="25"/>
      <c r="G53" s="27"/>
      <c r="H53" s="27"/>
      <c r="I53" s="29"/>
      <c r="J53" s="32"/>
    </row>
    <row r="54" spans="1:10" ht="16">
      <c r="A54" s="24"/>
      <c r="B54" s="25">
        <v>1</v>
      </c>
      <c r="C54" s="130" t="s">
        <v>8</v>
      </c>
      <c r="D54" s="136" t="s">
        <v>71</v>
      </c>
      <c r="E54" s="32">
        <f>'REVENUE DATA '!E60/100</f>
        <v>7.8009241245136183</v>
      </c>
      <c r="F54" s="32">
        <f>'REVENUE DATA '!F60/100</f>
        <v>7.8009241245136183</v>
      </c>
      <c r="G54" s="32">
        <v>7.41</v>
      </c>
      <c r="H54" s="32">
        <v>7.41</v>
      </c>
      <c r="I54" s="29">
        <f t="shared" ref="I54:J56" si="10">(+E54-G54)/G54</f>
        <v>5.2756292107100963E-2</v>
      </c>
      <c r="J54" s="29">
        <f t="shared" si="10"/>
        <v>5.2756292107100963E-2</v>
      </c>
    </row>
    <row r="55" spans="1:10" ht="16">
      <c r="A55" s="24"/>
      <c r="B55" s="25">
        <v>2</v>
      </c>
      <c r="C55" s="130" t="s">
        <v>77</v>
      </c>
      <c r="D55" s="136" t="s">
        <v>71</v>
      </c>
      <c r="E55" s="32">
        <f>'REVENUE DATA '!E67/100</f>
        <v>6.719525925925927</v>
      </c>
      <c r="F55" s="32">
        <f>'REVENUE DATA '!F67/100</f>
        <v>6.719525925925927</v>
      </c>
      <c r="G55" s="32">
        <v>5.94</v>
      </c>
      <c r="H55" s="32">
        <v>5.94</v>
      </c>
      <c r="I55" s="29">
        <f>(+E55-G55)/G55</f>
        <v>0.13123332086295061</v>
      </c>
      <c r="J55" s="29">
        <f>(+F55-H55)/H55</f>
        <v>0.13123332086295061</v>
      </c>
    </row>
    <row r="56" spans="1:10" s="20" customFormat="1" ht="22.5" customHeight="1" thickBot="1">
      <c r="A56" s="43"/>
      <c r="B56" s="140">
        <v>3</v>
      </c>
      <c r="C56" s="141" t="s">
        <v>78</v>
      </c>
      <c r="D56" s="139" t="s">
        <v>71</v>
      </c>
      <c r="E56" s="142">
        <f>'REVENUE DATA '!E68/100</f>
        <v>7.3134499799652737</v>
      </c>
      <c r="F56" s="142">
        <f>'REVENUE DATA '!F68/100</f>
        <v>7.3134499799652737</v>
      </c>
      <c r="G56" s="142">
        <v>6.65</v>
      </c>
      <c r="H56" s="142">
        <v>6.65</v>
      </c>
      <c r="I56" s="135">
        <f t="shared" si="10"/>
        <v>9.9766914280492225E-2</v>
      </c>
      <c r="J56" s="135">
        <f t="shared" si="10"/>
        <v>9.9766914280492225E-2</v>
      </c>
    </row>
    <row r="57" spans="1:10" ht="1.5" customHeight="1" thickBot="1">
      <c r="A57" s="64"/>
      <c r="B57" s="65"/>
      <c r="C57" s="66"/>
      <c r="D57" s="66"/>
      <c r="E57" s="66"/>
      <c r="F57" s="66"/>
      <c r="G57" s="67"/>
      <c r="H57" s="67"/>
      <c r="I57" s="67"/>
      <c r="J57" s="68"/>
    </row>
    <row r="58" spans="1:10" ht="29.25" customHeight="1">
      <c r="C58" s="572"/>
      <c r="D58" s="572"/>
      <c r="E58" s="572"/>
      <c r="F58" s="572"/>
      <c r="G58" s="572"/>
      <c r="H58" s="572"/>
      <c r="I58" s="572"/>
      <c r="J58" s="572"/>
    </row>
    <row r="59" spans="1:10" ht="23">
      <c r="A59" s="578" t="s">
        <v>38</v>
      </c>
      <c r="B59" s="578"/>
      <c r="C59" s="578"/>
      <c r="D59" s="578"/>
      <c r="E59" s="578"/>
      <c r="F59" s="578"/>
      <c r="G59" s="578"/>
      <c r="H59" s="578"/>
    </row>
    <row r="60" spans="1:10" ht="1.5" hidden="1" customHeight="1"/>
    <row r="61" spans="1:10" ht="24" thickBot="1">
      <c r="A61" s="578" t="s">
        <v>79</v>
      </c>
      <c r="B61" s="578"/>
      <c r="C61" s="578"/>
      <c r="D61" s="578"/>
      <c r="E61" s="578"/>
      <c r="F61" s="578"/>
      <c r="G61" s="578"/>
      <c r="H61" s="578"/>
      <c r="I61" s="573" t="s">
        <v>80</v>
      </c>
      <c r="J61" s="573"/>
    </row>
    <row r="62" spans="1:10" ht="0.75" customHeight="1" thickBot="1">
      <c r="A62" s="4"/>
      <c r="B62" s="4"/>
      <c r="C62" s="4"/>
      <c r="D62" s="2"/>
      <c r="E62" s="2"/>
      <c r="F62" s="2"/>
      <c r="G62" s="4"/>
      <c r="H62" s="4"/>
      <c r="I62" s="5"/>
      <c r="J62" s="5"/>
    </row>
    <row r="63" spans="1:10" ht="15.75" customHeight="1" thickBot="1">
      <c r="A63" s="69"/>
      <c r="B63" s="49"/>
      <c r="C63" s="70"/>
      <c r="D63" s="70"/>
      <c r="E63" s="580" t="str">
        <f>E42</f>
        <v>Current Year 22-23</v>
      </c>
      <c r="F63" s="581"/>
      <c r="G63" s="580" t="str">
        <f>G42</f>
        <v>Previous  Year 21-22*</v>
      </c>
      <c r="H63" s="581"/>
      <c r="I63" s="570" t="s">
        <v>4</v>
      </c>
      <c r="J63" s="571"/>
    </row>
    <row r="64" spans="1:10" ht="0.75" customHeight="1" thickBot="1">
      <c r="A64" s="55"/>
      <c r="B64" s="56"/>
      <c r="C64" s="57"/>
      <c r="D64" s="57"/>
      <c r="E64" s="10"/>
      <c r="F64" s="10"/>
      <c r="G64" s="11"/>
      <c r="H64" s="11"/>
      <c r="I64" s="12"/>
      <c r="J64" s="13"/>
    </row>
    <row r="65" spans="1:40" ht="64.5" customHeight="1" thickBot="1">
      <c r="A65" s="6"/>
      <c r="B65" s="71"/>
      <c r="C65" s="15"/>
      <c r="D65" s="7"/>
      <c r="E65" s="14" t="str">
        <f>E7</f>
        <v>1st  Quarter Apr'22 to Jun'22</v>
      </c>
      <c r="F65" s="14" t="str">
        <f>F7</f>
        <v xml:space="preserve">Cumulative Up to 1st quarter </v>
      </c>
      <c r="G65" s="16" t="str">
        <f>G7</f>
        <v>1st  Quarter  Apr'21 to Jun'21</v>
      </c>
      <c r="H65" s="16" t="str">
        <f>H7</f>
        <v>Cumulative Up to 1st quarter</v>
      </c>
      <c r="I65" s="16" t="str">
        <f>I44</f>
        <v>1st Quarter</v>
      </c>
      <c r="J65" s="17" t="str">
        <f>J44</f>
        <v>Cumulative up to 1st Qtr</v>
      </c>
      <c r="AM65" s="1" t="s">
        <v>138</v>
      </c>
      <c r="AN65" s="1" t="s">
        <v>139</v>
      </c>
    </row>
    <row r="66" spans="1:40" ht="21" customHeight="1">
      <c r="A66" s="72"/>
      <c r="B66" s="73">
        <v>1</v>
      </c>
      <c r="C66" s="131" t="s">
        <v>130</v>
      </c>
      <c r="D66" s="115" t="s">
        <v>126</v>
      </c>
      <c r="E66" s="125">
        <f>+'Financial Data '!E14</f>
        <v>5303.08</v>
      </c>
      <c r="F66" s="125">
        <f>E66</f>
        <v>5303.08</v>
      </c>
      <c r="G66" s="125">
        <f>+'Financial Data '!G14</f>
        <v>3496.65</v>
      </c>
      <c r="H66" s="32">
        <f>+G66</f>
        <v>3496.65</v>
      </c>
      <c r="I66" s="29">
        <f>E66/G66-100%</f>
        <v>0.51661733373371654</v>
      </c>
      <c r="J66" s="29">
        <f>F66/H66-100%</f>
        <v>0.51661733373371654</v>
      </c>
      <c r="AM66" s="1">
        <v>11881.51</v>
      </c>
      <c r="AN66" s="1">
        <f>+AM66/4</f>
        <v>2970.3775000000001</v>
      </c>
    </row>
    <row r="67" spans="1:40" ht="21" customHeight="1">
      <c r="A67" s="25"/>
      <c r="B67" s="74">
        <v>2</v>
      </c>
      <c r="C67" s="132" t="s">
        <v>81</v>
      </c>
      <c r="D67" s="27" t="s">
        <v>126</v>
      </c>
      <c r="E67" s="32">
        <f>+'Financial Data '!E18</f>
        <v>147.11000000000001</v>
      </c>
      <c r="F67" s="125">
        <f t="shared" ref="F67:F81" si="11">E67</f>
        <v>147.11000000000001</v>
      </c>
      <c r="G67" s="32">
        <f>+'Financial Data '!G18</f>
        <v>137.5</v>
      </c>
      <c r="H67" s="32">
        <f t="shared" ref="H67:H73" si="12">+G67</f>
        <v>137.5</v>
      </c>
      <c r="I67" s="29">
        <f t="shared" ref="I67:J83" si="13">E67/G67-100%</f>
        <v>6.9890909090909226E-2</v>
      </c>
      <c r="J67" s="29">
        <f t="shared" si="13"/>
        <v>6.9890909090909226E-2</v>
      </c>
      <c r="L67" s="205">
        <v>116.83</v>
      </c>
      <c r="M67" s="205">
        <f>$N$69/$L$73*L67</f>
        <v>105.73810645437202</v>
      </c>
      <c r="N67" s="205"/>
      <c r="O67" s="205"/>
      <c r="AM67" s="1">
        <v>553.29</v>
      </c>
      <c r="AN67" s="1">
        <f t="shared" ref="AN67:AN74" si="14">+AM67/4</f>
        <v>138.32249999999999</v>
      </c>
    </row>
    <row r="68" spans="1:40" ht="21" customHeight="1">
      <c r="A68" s="25"/>
      <c r="B68" s="74">
        <v>3</v>
      </c>
      <c r="C68" s="132" t="s">
        <v>82</v>
      </c>
      <c r="D68" s="27" t="s">
        <v>126</v>
      </c>
      <c r="E68" s="32">
        <f>+'Financial Data '!E23</f>
        <v>27.84</v>
      </c>
      <c r="F68" s="125">
        <f t="shared" si="11"/>
        <v>27.84</v>
      </c>
      <c r="G68" s="32">
        <f>+'Financial Data '!G23</f>
        <v>26.27</v>
      </c>
      <c r="H68" s="32">
        <f t="shared" si="12"/>
        <v>26.27</v>
      </c>
      <c r="I68" s="29">
        <f t="shared" si="13"/>
        <v>5.9763989341454105E-2</v>
      </c>
      <c r="J68" s="29">
        <f t="shared" si="13"/>
        <v>5.9763989341454105E-2</v>
      </c>
      <c r="L68" s="205"/>
      <c r="M68" s="205"/>
      <c r="N68" s="205"/>
      <c r="O68" s="205"/>
      <c r="AM68" s="1">
        <v>109.08</v>
      </c>
      <c r="AN68" s="1">
        <f t="shared" si="14"/>
        <v>27.27</v>
      </c>
    </row>
    <row r="69" spans="1:40" ht="21" customHeight="1">
      <c r="A69" s="25"/>
      <c r="B69" s="74">
        <v>4</v>
      </c>
      <c r="C69" s="132" t="s">
        <v>83</v>
      </c>
      <c r="D69" s="27" t="s">
        <v>126</v>
      </c>
      <c r="E69" s="32">
        <f>+'Financial Data '!E19</f>
        <v>18.16</v>
      </c>
      <c r="F69" s="125">
        <f t="shared" si="11"/>
        <v>18.16</v>
      </c>
      <c r="G69" s="32">
        <f>+'Financial Data '!G19</f>
        <v>12.09</v>
      </c>
      <c r="H69" s="32">
        <f t="shared" si="12"/>
        <v>12.09</v>
      </c>
      <c r="I69" s="29">
        <f t="shared" si="13"/>
        <v>0.50206782464846977</v>
      </c>
      <c r="J69" s="29">
        <f t="shared" si="13"/>
        <v>0.50206782464846977</v>
      </c>
      <c r="L69" s="205">
        <v>13.06</v>
      </c>
      <c r="M69" s="205">
        <f>$N$69/$L$73*L69</f>
        <v>11.820077636686626</v>
      </c>
      <c r="N69" s="205">
        <v>137.56</v>
      </c>
      <c r="O69" s="205"/>
      <c r="AM69" s="1">
        <v>66.180000000000007</v>
      </c>
      <c r="AN69" s="1">
        <f t="shared" si="14"/>
        <v>16.545000000000002</v>
      </c>
    </row>
    <row r="70" spans="1:40" ht="21" customHeight="1">
      <c r="A70" s="25"/>
      <c r="B70" s="74">
        <v>5</v>
      </c>
      <c r="C70" s="132" t="s">
        <v>84</v>
      </c>
      <c r="D70" s="27" t="s">
        <v>126</v>
      </c>
      <c r="E70" s="32">
        <f>+'Financial Data '!E22</f>
        <v>99.49</v>
      </c>
      <c r="F70" s="125">
        <f t="shared" si="11"/>
        <v>99.49</v>
      </c>
      <c r="G70" s="32">
        <f>+'Financial Data '!G22</f>
        <v>91.37</v>
      </c>
      <c r="H70" s="32">
        <f t="shared" si="12"/>
        <v>91.37</v>
      </c>
      <c r="I70" s="29">
        <f t="shared" si="13"/>
        <v>8.8869431979861968E-2</v>
      </c>
      <c r="J70" s="29">
        <f t="shared" si="13"/>
        <v>8.8869431979861968E-2</v>
      </c>
      <c r="L70" s="205"/>
      <c r="M70" s="205"/>
      <c r="N70" s="205"/>
      <c r="O70" s="205"/>
      <c r="AM70" s="1">
        <v>337.94</v>
      </c>
      <c r="AN70" s="1">
        <f t="shared" si="14"/>
        <v>84.484999999999999</v>
      </c>
    </row>
    <row r="71" spans="1:40" ht="21" customHeight="1">
      <c r="A71" s="25"/>
      <c r="B71" s="74">
        <v>6</v>
      </c>
      <c r="C71" s="132" t="s">
        <v>85</v>
      </c>
      <c r="D71" s="27" t="s">
        <v>126</v>
      </c>
      <c r="E71" s="32">
        <f>+'Financial Data '!E20</f>
        <v>44.72</v>
      </c>
      <c r="F71" s="125">
        <f t="shared" si="11"/>
        <v>44.72</v>
      </c>
      <c r="G71" s="32">
        <f>+'Financial Data '!G20</f>
        <v>28.17</v>
      </c>
      <c r="H71" s="32">
        <f t="shared" si="12"/>
        <v>28.17</v>
      </c>
      <c r="I71" s="29">
        <f t="shared" si="13"/>
        <v>0.58750443734469271</v>
      </c>
      <c r="J71" s="29">
        <f t="shared" si="13"/>
        <v>0.58750443734469271</v>
      </c>
      <c r="L71" s="205">
        <v>22.1</v>
      </c>
      <c r="M71" s="205">
        <f>$N$69/$L$73*L71</f>
        <v>20.001815908941381</v>
      </c>
      <c r="N71" s="205"/>
      <c r="O71" s="205"/>
      <c r="AM71" s="1">
        <v>113.51</v>
      </c>
      <c r="AN71" s="1">
        <f t="shared" si="14"/>
        <v>28.377500000000001</v>
      </c>
    </row>
    <row r="72" spans="1:40" ht="21" customHeight="1">
      <c r="A72" s="25"/>
      <c r="B72" s="74" t="s">
        <v>86</v>
      </c>
      <c r="C72" s="132" t="s">
        <v>87</v>
      </c>
      <c r="D72" s="27" t="s">
        <v>126</v>
      </c>
      <c r="E72" s="32">
        <v>0</v>
      </c>
      <c r="F72" s="125">
        <f t="shared" si="11"/>
        <v>0</v>
      </c>
      <c r="G72" s="32">
        <v>0</v>
      </c>
      <c r="H72" s="32">
        <f t="shared" si="12"/>
        <v>0</v>
      </c>
      <c r="I72" s="29">
        <v>0</v>
      </c>
      <c r="J72" s="29">
        <v>0</v>
      </c>
      <c r="L72" s="205"/>
      <c r="M72" s="205"/>
      <c r="N72" s="205"/>
      <c r="O72" s="205"/>
      <c r="AN72" s="1">
        <f t="shared" si="14"/>
        <v>0</v>
      </c>
    </row>
    <row r="73" spans="1:40" ht="21" customHeight="1">
      <c r="A73" s="25"/>
      <c r="B73" s="74">
        <v>7</v>
      </c>
      <c r="C73" s="133" t="s">
        <v>88</v>
      </c>
      <c r="D73" s="27" t="s">
        <v>126</v>
      </c>
      <c r="E73" s="32">
        <f>+'Financial Data '!E24</f>
        <v>-33.04</v>
      </c>
      <c r="F73" s="125">
        <f t="shared" si="11"/>
        <v>-33.04</v>
      </c>
      <c r="G73" s="32">
        <f>+'Financial Data '!G24</f>
        <v>-30.11</v>
      </c>
      <c r="H73" s="32">
        <f t="shared" si="12"/>
        <v>-30.11</v>
      </c>
      <c r="I73" s="29">
        <v>0</v>
      </c>
      <c r="J73" s="29">
        <f t="shared" si="13"/>
        <v>9.7309863832613752E-2</v>
      </c>
      <c r="L73" s="205">
        <f>L67+L69+L71</f>
        <v>151.98999999999998</v>
      </c>
      <c r="M73" s="205"/>
      <c r="N73" s="205"/>
      <c r="O73" s="205"/>
      <c r="AM73" s="1">
        <f>-99.63+6.74</f>
        <v>-92.89</v>
      </c>
      <c r="AN73" s="1">
        <f t="shared" si="14"/>
        <v>-23.2225</v>
      </c>
    </row>
    <row r="74" spans="1:40" ht="21" customHeight="1">
      <c r="A74" s="25"/>
      <c r="B74" s="74">
        <v>8</v>
      </c>
      <c r="C74" s="211" t="s">
        <v>89</v>
      </c>
      <c r="D74" s="25" t="s">
        <v>60</v>
      </c>
      <c r="E74" s="216">
        <f>SUM(E66:E73)</f>
        <v>5607.36</v>
      </c>
      <c r="F74" s="216">
        <f>SUM(F66:F73)</f>
        <v>5607.36</v>
      </c>
      <c r="G74" s="216">
        <f t="shared" ref="G74:H74" si="15">SUM(G66:G73)</f>
        <v>3761.94</v>
      </c>
      <c r="H74" s="216">
        <f t="shared" si="15"/>
        <v>3761.94</v>
      </c>
      <c r="I74" s="217">
        <f t="shared" si="13"/>
        <v>0.49055008851815818</v>
      </c>
      <c r="J74" s="217">
        <f t="shared" si="13"/>
        <v>0.49055008851815818</v>
      </c>
      <c r="AM74" s="1">
        <f>SUM(AM66:AM73)</f>
        <v>12968.62</v>
      </c>
      <c r="AN74" s="1">
        <f t="shared" si="14"/>
        <v>3242.1550000000002</v>
      </c>
    </row>
    <row r="75" spans="1:40" s="20" customFormat="1" ht="21" customHeight="1">
      <c r="A75" s="22"/>
      <c r="B75" s="74">
        <v>9</v>
      </c>
      <c r="C75" s="132" t="s">
        <v>90</v>
      </c>
      <c r="D75" s="27" t="s">
        <v>126</v>
      </c>
      <c r="E75" s="125">
        <v>118</v>
      </c>
      <c r="F75" s="125">
        <f t="shared" si="11"/>
        <v>118</v>
      </c>
      <c r="G75" s="27">
        <v>152</v>
      </c>
      <c r="H75" s="32">
        <f>+G75</f>
        <v>152</v>
      </c>
      <c r="I75" s="29">
        <f t="shared" si="13"/>
        <v>-0.22368421052631582</v>
      </c>
      <c r="J75" s="29">
        <f t="shared" si="13"/>
        <v>-0.22368421052631582</v>
      </c>
      <c r="AG75" s="206"/>
    </row>
    <row r="76" spans="1:40" s="20" customFormat="1" ht="21" customHeight="1">
      <c r="A76" s="22"/>
      <c r="B76" s="74">
        <v>10</v>
      </c>
      <c r="C76" s="132" t="s">
        <v>91</v>
      </c>
      <c r="D76" s="27" t="s">
        <v>126</v>
      </c>
      <c r="E76" s="32">
        <v>0</v>
      </c>
      <c r="F76" s="125">
        <f t="shared" si="11"/>
        <v>0</v>
      </c>
      <c r="G76" s="27">
        <v>0</v>
      </c>
      <c r="H76" s="32">
        <f t="shared" ref="H76:H81" si="16">+G76</f>
        <v>0</v>
      </c>
      <c r="I76" s="29">
        <v>0</v>
      </c>
      <c r="J76" s="29">
        <v>0</v>
      </c>
      <c r="K76" s="236"/>
    </row>
    <row r="77" spans="1:40" s="20" customFormat="1" ht="21" customHeight="1">
      <c r="A77" s="22"/>
      <c r="B77" s="74">
        <v>11</v>
      </c>
      <c r="C77" s="132" t="s">
        <v>92</v>
      </c>
      <c r="D77" s="27" t="s">
        <v>126</v>
      </c>
      <c r="E77" s="32">
        <f>+'Financial Data '!E9</f>
        <v>64.5</v>
      </c>
      <c r="F77" s="125">
        <f t="shared" si="11"/>
        <v>64.5</v>
      </c>
      <c r="G77" s="32">
        <f>+'Financial Data '!G9</f>
        <v>47.03</v>
      </c>
      <c r="H77" s="32">
        <f t="shared" si="16"/>
        <v>47.03</v>
      </c>
      <c r="I77" s="29">
        <f t="shared" si="13"/>
        <v>0.37146502232617484</v>
      </c>
      <c r="J77" s="29">
        <f t="shared" si="13"/>
        <v>0.37146502232617484</v>
      </c>
    </row>
    <row r="78" spans="1:40" s="20" customFormat="1" ht="34.5" customHeight="1">
      <c r="A78" s="22"/>
      <c r="B78" s="74">
        <v>12</v>
      </c>
      <c r="C78" s="134" t="s">
        <v>93</v>
      </c>
      <c r="D78" s="27" t="s">
        <v>126</v>
      </c>
      <c r="E78" s="32">
        <v>0</v>
      </c>
      <c r="F78" s="125">
        <f t="shared" si="11"/>
        <v>0</v>
      </c>
      <c r="G78" s="32">
        <v>0</v>
      </c>
      <c r="H78" s="32">
        <f t="shared" si="16"/>
        <v>0</v>
      </c>
      <c r="I78" s="29" t="s">
        <v>411</v>
      </c>
      <c r="J78" s="29" t="s">
        <v>411</v>
      </c>
    </row>
    <row r="79" spans="1:40" s="20" customFormat="1" ht="21" customHeight="1">
      <c r="A79" s="22"/>
      <c r="B79" s="74">
        <v>13</v>
      </c>
      <c r="C79" s="132" t="s">
        <v>94</v>
      </c>
      <c r="D79" s="27" t="s">
        <v>126</v>
      </c>
      <c r="E79" s="32">
        <f>+'Financial Data '!E7</f>
        <v>5475.58</v>
      </c>
      <c r="F79" s="125">
        <f t="shared" si="11"/>
        <v>5475.58</v>
      </c>
      <c r="G79" s="32">
        <f>+'Financial Data '!G7</f>
        <v>3678.07</v>
      </c>
      <c r="H79" s="32">
        <f t="shared" si="16"/>
        <v>3678.07</v>
      </c>
      <c r="I79" s="29">
        <f t="shared" si="13"/>
        <v>0.48871011155306987</v>
      </c>
      <c r="J79" s="29">
        <f t="shared" si="13"/>
        <v>0.48871011155306987</v>
      </c>
      <c r="AG79" s="206">
        <f>12821.31*100</f>
        <v>1282131</v>
      </c>
    </row>
    <row r="80" spans="1:40" s="20" customFormat="1" ht="21" customHeight="1">
      <c r="A80" s="22"/>
      <c r="B80" s="26">
        <v>14</v>
      </c>
      <c r="C80" s="132" t="s">
        <v>95</v>
      </c>
      <c r="D80" s="27" t="s">
        <v>126</v>
      </c>
      <c r="E80" s="125">
        <v>12.91</v>
      </c>
      <c r="F80" s="125">
        <f t="shared" si="11"/>
        <v>12.91</v>
      </c>
      <c r="G80" s="125">
        <v>14.25</v>
      </c>
      <c r="H80" s="32">
        <f t="shared" si="16"/>
        <v>14.25</v>
      </c>
      <c r="I80" s="29">
        <f t="shared" si="13"/>
        <v>-9.4035087719298249E-2</v>
      </c>
      <c r="J80" s="29">
        <f t="shared" si="13"/>
        <v>-9.4035087719298249E-2</v>
      </c>
    </row>
    <row r="81" spans="1:34" ht="21" customHeight="1">
      <c r="A81" s="25"/>
      <c r="B81" s="74">
        <v>15</v>
      </c>
      <c r="C81" s="132" t="s">
        <v>386</v>
      </c>
      <c r="D81" s="27" t="s">
        <v>126</v>
      </c>
      <c r="E81" s="125">
        <f>65+4.28</f>
        <v>69.28</v>
      </c>
      <c r="F81" s="125">
        <f t="shared" si="11"/>
        <v>69.28</v>
      </c>
      <c r="G81" s="125">
        <f>51.04</f>
        <v>51.04</v>
      </c>
      <c r="H81" s="32">
        <f t="shared" si="16"/>
        <v>51.04</v>
      </c>
      <c r="I81" s="29">
        <f t="shared" ref="I81" si="17">E81/G81-100%</f>
        <v>0.3573667711598747</v>
      </c>
      <c r="J81" s="29">
        <f t="shared" ref="J81" si="18">F81/H81-100%</f>
        <v>0.3573667711598747</v>
      </c>
      <c r="K81" s="20"/>
    </row>
    <row r="82" spans="1:34" ht="21" customHeight="1">
      <c r="A82" s="25"/>
      <c r="B82" s="74">
        <v>16</v>
      </c>
      <c r="C82" s="211" t="s">
        <v>413</v>
      </c>
      <c r="D82" s="25" t="s">
        <v>60</v>
      </c>
      <c r="E82" s="42">
        <f>SUM(E77:E81)</f>
        <v>5622.2699999999995</v>
      </c>
      <c r="F82" s="42">
        <f>SUM(F77:F81)</f>
        <v>5622.2699999999995</v>
      </c>
      <c r="G82" s="42">
        <f t="shared" ref="G82:H82" si="19">SUM(G77:G81)</f>
        <v>3790.3900000000003</v>
      </c>
      <c r="H82" s="42">
        <f t="shared" si="19"/>
        <v>3790.3900000000003</v>
      </c>
      <c r="I82" s="217">
        <f t="shared" si="13"/>
        <v>0.4832959141407609</v>
      </c>
      <c r="J82" s="217">
        <f t="shared" si="13"/>
        <v>0.4832959141407609</v>
      </c>
    </row>
    <row r="83" spans="1:34" s="20" customFormat="1" ht="34" thickBot="1">
      <c r="A83" s="63"/>
      <c r="B83" s="212">
        <v>14</v>
      </c>
      <c r="C83" s="213" t="s">
        <v>96</v>
      </c>
      <c r="D83" s="214" t="s">
        <v>56</v>
      </c>
      <c r="E83" s="215">
        <f>E66/E74</f>
        <v>0.94573560463390971</v>
      </c>
      <c r="F83" s="215">
        <f>F66/F74</f>
        <v>0.94573560463390971</v>
      </c>
      <c r="G83" s="215">
        <f t="shared" ref="G83:H83" si="20">G66/G74</f>
        <v>0.92948053397980834</v>
      </c>
      <c r="H83" s="215">
        <f t="shared" si="20"/>
        <v>0.92948053397980834</v>
      </c>
      <c r="I83" s="215">
        <f t="shared" si="13"/>
        <v>1.7488338980592877E-2</v>
      </c>
      <c r="J83" s="208">
        <f t="shared" si="13"/>
        <v>1.7488338980592877E-2</v>
      </c>
      <c r="AH83" s="206">
        <f>F82-AH85</f>
        <v>-4105.7500000000009</v>
      </c>
    </row>
    <row r="84" spans="1:34" hidden="1">
      <c r="A84" s="2">
        <v>3</v>
      </c>
      <c r="F84" s="204"/>
      <c r="J84" s="29" t="e">
        <f>F84/H84-100%</f>
        <v>#DIV/0!</v>
      </c>
    </row>
    <row r="85" spans="1:34" ht="14" thickBot="1">
      <c r="A85" s="575" t="s">
        <v>414</v>
      </c>
      <c r="B85" s="576"/>
      <c r="C85" s="576"/>
      <c r="D85" s="576"/>
      <c r="E85" s="576"/>
      <c r="F85" s="576"/>
      <c r="G85" s="576"/>
      <c r="H85" s="576"/>
      <c r="I85" s="576"/>
      <c r="J85" s="577"/>
      <c r="AH85" s="1">
        <v>9728.02</v>
      </c>
    </row>
    <row r="86" spans="1:34" ht="0.75" customHeight="1">
      <c r="AH86" s="30">
        <f>F82-AH85</f>
        <v>-4105.7500000000009</v>
      </c>
    </row>
    <row r="88" spans="1:34" hidden="1">
      <c r="F88" s="204"/>
      <c r="H88" s="30"/>
    </row>
    <row r="89" spans="1:34" hidden="1">
      <c r="E89" s="204"/>
      <c r="F89" s="204"/>
      <c r="H89" s="30"/>
      <c r="J89" s="1">
        <v>3125.53</v>
      </c>
    </row>
    <row r="90" spans="1:34" hidden="1">
      <c r="G90" s="30"/>
      <c r="J90" s="30">
        <f>E82-J89</f>
        <v>2496.7399999999993</v>
      </c>
    </row>
    <row r="91" spans="1:34" hidden="1"/>
    <row r="92" spans="1:34" hidden="1"/>
    <row r="93" spans="1:34" hidden="1"/>
    <row r="95" spans="1:34">
      <c r="E95" s="204"/>
    </row>
  </sheetData>
  <mergeCells count="21">
    <mergeCell ref="A1:H1"/>
    <mergeCell ref="A3:H3"/>
    <mergeCell ref="I3:J3"/>
    <mergeCell ref="E5:F5"/>
    <mergeCell ref="G5:H5"/>
    <mergeCell ref="I5:J5"/>
    <mergeCell ref="I63:J63"/>
    <mergeCell ref="C58:J58"/>
    <mergeCell ref="I61:J61"/>
    <mergeCell ref="A36:J36"/>
    <mergeCell ref="A85:J85"/>
    <mergeCell ref="A38:H38"/>
    <mergeCell ref="A40:H40"/>
    <mergeCell ref="I40:J40"/>
    <mergeCell ref="E42:F42"/>
    <mergeCell ref="I42:J42"/>
    <mergeCell ref="E63:F63"/>
    <mergeCell ref="G42:H42"/>
    <mergeCell ref="A61:H61"/>
    <mergeCell ref="G63:H63"/>
    <mergeCell ref="A59:H59"/>
  </mergeCells>
  <printOptions horizontalCentered="1"/>
  <pageMargins left="0.74803149606299213" right="0.74803149606299213" top="0.98425196850393704" bottom="0.98425196850393704" header="0.51181102362204722" footer="0.51181102362204722"/>
  <pageSetup paperSize="9" scale="75" orientation="landscape" r:id="rId1"/>
  <headerFooter alignWithMargins="0"/>
  <rowBreaks count="2" manualBreakCount="2">
    <brk id="37" max="16383" man="1"/>
    <brk id="58" max="16383" man="1"/>
  </rowBreaks>
  <drawing r:id="rId2"/>
  <legacyDrawing r:id="rId3"/>
  <oleObjects>
    <mc:AlternateContent xmlns:mc="http://schemas.openxmlformats.org/markup-compatibility/2006">
      <mc:Choice Requires="x14">
        <oleObject progId="PBrush" shapeId="4097" r:id="rId4">
          <objectPr defaultSize="0" autoPict="0" r:id="rId5">
            <anchor moveWithCells="1" sizeWithCells="1">
              <from>
                <xdr:col>2</xdr:col>
                <xdr:colOff>1168400</xdr:colOff>
                <xdr:row>6</xdr:row>
                <xdr:rowOff>127000</xdr:rowOff>
              </from>
              <to>
                <xdr:col>2</xdr:col>
                <xdr:colOff>2959100</xdr:colOff>
                <xdr:row>6</xdr:row>
                <xdr:rowOff>749300</xdr:rowOff>
              </to>
            </anchor>
          </objectPr>
        </oleObject>
      </mc:Choice>
      <mc:Fallback>
        <oleObject progId="PBrush" shapeId="4097" r:id="rId4"/>
      </mc:Fallback>
    </mc:AlternateContent>
    <mc:AlternateContent xmlns:mc="http://schemas.openxmlformats.org/markup-compatibility/2006">
      <mc:Choice Requires="x14">
        <oleObject progId="PBrush" shapeId="4098" r:id="rId6">
          <objectPr defaultSize="0" autoPict="0" r:id="rId5">
            <anchor moveWithCells="1" sizeWithCells="1">
              <from>
                <xdr:col>2</xdr:col>
                <xdr:colOff>1168400</xdr:colOff>
                <xdr:row>43</xdr:row>
                <xdr:rowOff>292100</xdr:rowOff>
              </from>
              <to>
                <xdr:col>2</xdr:col>
                <xdr:colOff>2387600</xdr:colOff>
                <xdr:row>43</xdr:row>
                <xdr:rowOff>647700</xdr:rowOff>
              </to>
            </anchor>
          </objectPr>
        </oleObject>
      </mc:Choice>
      <mc:Fallback>
        <oleObject progId="PBrush" shapeId="4098" r:id="rId6"/>
      </mc:Fallback>
    </mc:AlternateContent>
    <mc:AlternateContent xmlns:mc="http://schemas.openxmlformats.org/markup-compatibility/2006">
      <mc:Choice Requires="x14">
        <oleObject progId="PBrush" shapeId="4099" r:id="rId7">
          <objectPr defaultSize="0" autoPict="0" r:id="rId5">
            <anchor moveWithCells="1" sizeWithCells="1">
              <from>
                <xdr:col>2</xdr:col>
                <xdr:colOff>1219200</xdr:colOff>
                <xdr:row>64</xdr:row>
                <xdr:rowOff>177800</xdr:rowOff>
              </from>
              <to>
                <xdr:col>2</xdr:col>
                <xdr:colOff>3009900</xdr:colOff>
                <xdr:row>64</xdr:row>
                <xdr:rowOff>812800</xdr:rowOff>
              </to>
            </anchor>
          </objectPr>
        </oleObject>
      </mc:Choice>
      <mc:Fallback>
        <oleObject progId="PBrush" shapeId="4099" r:id="rId7"/>
      </mc:Fallback>
    </mc:AlternateContent>
    <mc:AlternateContent xmlns:mc="http://schemas.openxmlformats.org/markup-compatibility/2006">
      <mc:Choice Requires="x14">
        <oleObject progId="PBrush" shapeId="4100" r:id="rId8">
          <objectPr defaultSize="0" autoPict="0" r:id="rId5">
            <anchor moveWithCells="1" sizeWithCells="1">
              <from>
                <xdr:col>2</xdr:col>
                <xdr:colOff>1168400</xdr:colOff>
                <xdr:row>6</xdr:row>
                <xdr:rowOff>127000</xdr:rowOff>
              </from>
              <to>
                <xdr:col>2</xdr:col>
                <xdr:colOff>2959100</xdr:colOff>
                <xdr:row>6</xdr:row>
                <xdr:rowOff>749300</xdr:rowOff>
              </to>
            </anchor>
          </objectPr>
        </oleObject>
      </mc:Choice>
      <mc:Fallback>
        <oleObject progId="PBrush" shapeId="4100" r:id="rId8"/>
      </mc:Fallback>
    </mc:AlternateContent>
    <mc:AlternateContent xmlns:mc="http://schemas.openxmlformats.org/markup-compatibility/2006">
      <mc:Choice Requires="x14">
        <oleObject progId="PBrush" shapeId="4101" r:id="rId9">
          <objectPr defaultSize="0" autoPict="0" r:id="rId5">
            <anchor moveWithCells="1" sizeWithCells="1">
              <from>
                <xdr:col>2</xdr:col>
                <xdr:colOff>1168400</xdr:colOff>
                <xdr:row>43</xdr:row>
                <xdr:rowOff>304800</xdr:rowOff>
              </from>
              <to>
                <xdr:col>2</xdr:col>
                <xdr:colOff>2387600</xdr:colOff>
                <xdr:row>43</xdr:row>
                <xdr:rowOff>660400</xdr:rowOff>
              </to>
            </anchor>
          </objectPr>
        </oleObject>
      </mc:Choice>
      <mc:Fallback>
        <oleObject progId="PBrush" shapeId="4101" r:id="rId9"/>
      </mc:Fallback>
    </mc:AlternateContent>
    <mc:AlternateContent xmlns:mc="http://schemas.openxmlformats.org/markup-compatibility/2006">
      <mc:Choice Requires="x14">
        <oleObject progId="PBrush" shapeId="4102" r:id="rId10">
          <objectPr defaultSize="0" autoPict="0" r:id="rId5">
            <anchor moveWithCells="1" sizeWithCells="1">
              <from>
                <xdr:col>2</xdr:col>
                <xdr:colOff>1219200</xdr:colOff>
                <xdr:row>64</xdr:row>
                <xdr:rowOff>177800</xdr:rowOff>
              </from>
              <to>
                <xdr:col>2</xdr:col>
                <xdr:colOff>3009900</xdr:colOff>
                <xdr:row>64</xdr:row>
                <xdr:rowOff>812800</xdr:rowOff>
              </to>
            </anchor>
          </objectPr>
        </oleObject>
      </mc:Choice>
      <mc:Fallback>
        <oleObject progId="PBrush" shapeId="4102" r:id="rId10"/>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31"/>
  <sheetViews>
    <sheetView tabSelected="1" view="pageBreakPreview" zoomScale="60" zoomScaleNormal="85" workbookViewId="0">
      <selection activeCell="J19" sqref="J19"/>
    </sheetView>
  </sheetViews>
  <sheetFormatPr baseColWidth="10" defaultColWidth="8.83203125" defaultRowHeight="13"/>
  <cols>
    <col min="1" max="1" width="22" customWidth="1"/>
    <col min="3" max="3" width="20.6640625" customWidth="1"/>
    <col min="4" max="4" width="10.33203125" customWidth="1"/>
    <col min="5" max="5" width="17.6640625" customWidth="1"/>
    <col min="6" max="6" width="15.83203125" customWidth="1"/>
    <col min="7" max="7" width="16" customWidth="1"/>
    <col min="8" max="8" width="29.83203125" customWidth="1"/>
    <col min="257" max="257" width="22" customWidth="1"/>
    <col min="259" max="259" width="20.6640625" customWidth="1"/>
    <col min="260" max="260" width="10.33203125" customWidth="1"/>
    <col min="261" max="261" width="17.6640625" customWidth="1"/>
    <col min="262" max="262" width="15.83203125" customWidth="1"/>
    <col min="263" max="263" width="16" customWidth="1"/>
    <col min="264" max="264" width="29.83203125" customWidth="1"/>
    <col min="513" max="513" width="22" customWidth="1"/>
    <col min="515" max="515" width="20.6640625" customWidth="1"/>
    <col min="516" max="516" width="10.33203125" customWidth="1"/>
    <col min="517" max="517" width="17.6640625" customWidth="1"/>
    <col min="518" max="518" width="15.83203125" customWidth="1"/>
    <col min="519" max="519" width="16" customWidth="1"/>
    <col min="520" max="520" width="29.83203125" customWidth="1"/>
    <col min="769" max="769" width="22" customWidth="1"/>
    <col min="771" max="771" width="20.6640625" customWidth="1"/>
    <col min="772" max="772" width="10.33203125" customWidth="1"/>
    <col min="773" max="773" width="17.6640625" customWidth="1"/>
    <col min="774" max="774" width="15.83203125" customWidth="1"/>
    <col min="775" max="775" width="16" customWidth="1"/>
    <col min="776" max="776" width="29.83203125" customWidth="1"/>
    <col min="1025" max="1025" width="22" customWidth="1"/>
    <col min="1027" max="1027" width="20.6640625" customWidth="1"/>
    <col min="1028" max="1028" width="10.33203125" customWidth="1"/>
    <col min="1029" max="1029" width="17.6640625" customWidth="1"/>
    <col min="1030" max="1030" width="15.83203125" customWidth="1"/>
    <col min="1031" max="1031" width="16" customWidth="1"/>
    <col min="1032" max="1032" width="29.83203125" customWidth="1"/>
    <col min="1281" max="1281" width="22" customWidth="1"/>
    <col min="1283" max="1283" width="20.6640625" customWidth="1"/>
    <col min="1284" max="1284" width="10.33203125" customWidth="1"/>
    <col min="1285" max="1285" width="17.6640625" customWidth="1"/>
    <col min="1286" max="1286" width="15.83203125" customWidth="1"/>
    <col min="1287" max="1287" width="16" customWidth="1"/>
    <col min="1288" max="1288" width="29.83203125" customWidth="1"/>
    <col min="1537" max="1537" width="22" customWidth="1"/>
    <col min="1539" max="1539" width="20.6640625" customWidth="1"/>
    <col min="1540" max="1540" width="10.33203125" customWidth="1"/>
    <col min="1541" max="1541" width="17.6640625" customWidth="1"/>
    <col min="1542" max="1542" width="15.83203125" customWidth="1"/>
    <col min="1543" max="1543" width="16" customWidth="1"/>
    <col min="1544" max="1544" width="29.83203125" customWidth="1"/>
    <col min="1793" max="1793" width="22" customWidth="1"/>
    <col min="1795" max="1795" width="20.6640625" customWidth="1"/>
    <col min="1796" max="1796" width="10.33203125" customWidth="1"/>
    <col min="1797" max="1797" width="17.6640625" customWidth="1"/>
    <col min="1798" max="1798" width="15.83203125" customWidth="1"/>
    <col min="1799" max="1799" width="16" customWidth="1"/>
    <col min="1800" max="1800" width="29.83203125" customWidth="1"/>
    <col min="2049" max="2049" width="22" customWidth="1"/>
    <col min="2051" max="2051" width="20.6640625" customWidth="1"/>
    <col min="2052" max="2052" width="10.33203125" customWidth="1"/>
    <col min="2053" max="2053" width="17.6640625" customWidth="1"/>
    <col min="2054" max="2054" width="15.83203125" customWidth="1"/>
    <col min="2055" max="2055" width="16" customWidth="1"/>
    <col min="2056" max="2056" width="29.83203125" customWidth="1"/>
    <col min="2305" max="2305" width="22" customWidth="1"/>
    <col min="2307" max="2307" width="20.6640625" customWidth="1"/>
    <col min="2308" max="2308" width="10.33203125" customWidth="1"/>
    <col min="2309" max="2309" width="17.6640625" customWidth="1"/>
    <col min="2310" max="2310" width="15.83203125" customWidth="1"/>
    <col min="2311" max="2311" width="16" customWidth="1"/>
    <col min="2312" max="2312" width="29.83203125" customWidth="1"/>
    <col min="2561" max="2561" width="22" customWidth="1"/>
    <col min="2563" max="2563" width="20.6640625" customWidth="1"/>
    <col min="2564" max="2564" width="10.33203125" customWidth="1"/>
    <col min="2565" max="2565" width="17.6640625" customWidth="1"/>
    <col min="2566" max="2566" width="15.83203125" customWidth="1"/>
    <col min="2567" max="2567" width="16" customWidth="1"/>
    <col min="2568" max="2568" width="29.83203125" customWidth="1"/>
    <col min="2817" max="2817" width="22" customWidth="1"/>
    <col min="2819" max="2819" width="20.6640625" customWidth="1"/>
    <col min="2820" max="2820" width="10.33203125" customWidth="1"/>
    <col min="2821" max="2821" width="17.6640625" customWidth="1"/>
    <col min="2822" max="2822" width="15.83203125" customWidth="1"/>
    <col min="2823" max="2823" width="16" customWidth="1"/>
    <col min="2824" max="2824" width="29.83203125" customWidth="1"/>
    <col min="3073" max="3073" width="22" customWidth="1"/>
    <col min="3075" max="3075" width="20.6640625" customWidth="1"/>
    <col min="3076" max="3076" width="10.33203125" customWidth="1"/>
    <col min="3077" max="3077" width="17.6640625" customWidth="1"/>
    <col min="3078" max="3078" width="15.83203125" customWidth="1"/>
    <col min="3079" max="3079" width="16" customWidth="1"/>
    <col min="3080" max="3080" width="29.83203125" customWidth="1"/>
    <col min="3329" max="3329" width="22" customWidth="1"/>
    <col min="3331" max="3331" width="20.6640625" customWidth="1"/>
    <col min="3332" max="3332" width="10.33203125" customWidth="1"/>
    <col min="3333" max="3333" width="17.6640625" customWidth="1"/>
    <col min="3334" max="3334" width="15.83203125" customWidth="1"/>
    <col min="3335" max="3335" width="16" customWidth="1"/>
    <col min="3336" max="3336" width="29.83203125" customWidth="1"/>
    <col min="3585" max="3585" width="22" customWidth="1"/>
    <col min="3587" max="3587" width="20.6640625" customWidth="1"/>
    <col min="3588" max="3588" width="10.33203125" customWidth="1"/>
    <col min="3589" max="3589" width="17.6640625" customWidth="1"/>
    <col min="3590" max="3590" width="15.83203125" customWidth="1"/>
    <col min="3591" max="3591" width="16" customWidth="1"/>
    <col min="3592" max="3592" width="29.83203125" customWidth="1"/>
    <col min="3841" max="3841" width="22" customWidth="1"/>
    <col min="3843" max="3843" width="20.6640625" customWidth="1"/>
    <col min="3844" max="3844" width="10.33203125" customWidth="1"/>
    <col min="3845" max="3845" width="17.6640625" customWidth="1"/>
    <col min="3846" max="3846" width="15.83203125" customWidth="1"/>
    <col min="3847" max="3847" width="16" customWidth="1"/>
    <col min="3848" max="3848" width="29.83203125" customWidth="1"/>
    <col min="4097" max="4097" width="22" customWidth="1"/>
    <col min="4099" max="4099" width="20.6640625" customWidth="1"/>
    <col min="4100" max="4100" width="10.33203125" customWidth="1"/>
    <col min="4101" max="4101" width="17.6640625" customWidth="1"/>
    <col min="4102" max="4102" width="15.83203125" customWidth="1"/>
    <col min="4103" max="4103" width="16" customWidth="1"/>
    <col min="4104" max="4104" width="29.83203125" customWidth="1"/>
    <col min="4353" max="4353" width="22" customWidth="1"/>
    <col min="4355" max="4355" width="20.6640625" customWidth="1"/>
    <col min="4356" max="4356" width="10.33203125" customWidth="1"/>
    <col min="4357" max="4357" width="17.6640625" customWidth="1"/>
    <col min="4358" max="4358" width="15.83203125" customWidth="1"/>
    <col min="4359" max="4359" width="16" customWidth="1"/>
    <col min="4360" max="4360" width="29.83203125" customWidth="1"/>
    <col min="4609" max="4609" width="22" customWidth="1"/>
    <col min="4611" max="4611" width="20.6640625" customWidth="1"/>
    <col min="4612" max="4612" width="10.33203125" customWidth="1"/>
    <col min="4613" max="4613" width="17.6640625" customWidth="1"/>
    <col min="4614" max="4614" width="15.83203125" customWidth="1"/>
    <col min="4615" max="4615" width="16" customWidth="1"/>
    <col min="4616" max="4616" width="29.83203125" customWidth="1"/>
    <col min="4865" max="4865" width="22" customWidth="1"/>
    <col min="4867" max="4867" width="20.6640625" customWidth="1"/>
    <col min="4868" max="4868" width="10.33203125" customWidth="1"/>
    <col min="4869" max="4869" width="17.6640625" customWidth="1"/>
    <col min="4870" max="4870" width="15.83203125" customWidth="1"/>
    <col min="4871" max="4871" width="16" customWidth="1"/>
    <col min="4872" max="4872" width="29.83203125" customWidth="1"/>
    <col min="5121" max="5121" width="22" customWidth="1"/>
    <col min="5123" max="5123" width="20.6640625" customWidth="1"/>
    <col min="5124" max="5124" width="10.33203125" customWidth="1"/>
    <col min="5125" max="5125" width="17.6640625" customWidth="1"/>
    <col min="5126" max="5126" width="15.83203125" customWidth="1"/>
    <col min="5127" max="5127" width="16" customWidth="1"/>
    <col min="5128" max="5128" width="29.83203125" customWidth="1"/>
    <col min="5377" max="5377" width="22" customWidth="1"/>
    <col min="5379" max="5379" width="20.6640625" customWidth="1"/>
    <col min="5380" max="5380" width="10.33203125" customWidth="1"/>
    <col min="5381" max="5381" width="17.6640625" customWidth="1"/>
    <col min="5382" max="5382" width="15.83203125" customWidth="1"/>
    <col min="5383" max="5383" width="16" customWidth="1"/>
    <col min="5384" max="5384" width="29.83203125" customWidth="1"/>
    <col min="5633" max="5633" width="22" customWidth="1"/>
    <col min="5635" max="5635" width="20.6640625" customWidth="1"/>
    <col min="5636" max="5636" width="10.33203125" customWidth="1"/>
    <col min="5637" max="5637" width="17.6640625" customWidth="1"/>
    <col min="5638" max="5638" width="15.83203125" customWidth="1"/>
    <col min="5639" max="5639" width="16" customWidth="1"/>
    <col min="5640" max="5640" width="29.83203125" customWidth="1"/>
    <col min="5889" max="5889" width="22" customWidth="1"/>
    <col min="5891" max="5891" width="20.6640625" customWidth="1"/>
    <col min="5892" max="5892" width="10.33203125" customWidth="1"/>
    <col min="5893" max="5893" width="17.6640625" customWidth="1"/>
    <col min="5894" max="5894" width="15.83203125" customWidth="1"/>
    <col min="5895" max="5895" width="16" customWidth="1"/>
    <col min="5896" max="5896" width="29.83203125" customWidth="1"/>
    <col min="6145" max="6145" width="22" customWidth="1"/>
    <col min="6147" max="6147" width="20.6640625" customWidth="1"/>
    <col min="6148" max="6148" width="10.33203125" customWidth="1"/>
    <col min="6149" max="6149" width="17.6640625" customWidth="1"/>
    <col min="6150" max="6150" width="15.83203125" customWidth="1"/>
    <col min="6151" max="6151" width="16" customWidth="1"/>
    <col min="6152" max="6152" width="29.83203125" customWidth="1"/>
    <col min="6401" max="6401" width="22" customWidth="1"/>
    <col min="6403" max="6403" width="20.6640625" customWidth="1"/>
    <col min="6404" max="6404" width="10.33203125" customWidth="1"/>
    <col min="6405" max="6405" width="17.6640625" customWidth="1"/>
    <col min="6406" max="6406" width="15.83203125" customWidth="1"/>
    <col min="6407" max="6407" width="16" customWidth="1"/>
    <col min="6408" max="6408" width="29.83203125" customWidth="1"/>
    <col min="6657" max="6657" width="22" customWidth="1"/>
    <col min="6659" max="6659" width="20.6640625" customWidth="1"/>
    <col min="6660" max="6660" width="10.33203125" customWidth="1"/>
    <col min="6661" max="6661" width="17.6640625" customWidth="1"/>
    <col min="6662" max="6662" width="15.83203125" customWidth="1"/>
    <col min="6663" max="6663" width="16" customWidth="1"/>
    <col min="6664" max="6664" width="29.83203125" customWidth="1"/>
    <col min="6913" max="6913" width="22" customWidth="1"/>
    <col min="6915" max="6915" width="20.6640625" customWidth="1"/>
    <col min="6916" max="6916" width="10.33203125" customWidth="1"/>
    <col min="6917" max="6917" width="17.6640625" customWidth="1"/>
    <col min="6918" max="6918" width="15.83203125" customWidth="1"/>
    <col min="6919" max="6919" width="16" customWidth="1"/>
    <col min="6920" max="6920" width="29.83203125" customWidth="1"/>
    <col min="7169" max="7169" width="22" customWidth="1"/>
    <col min="7171" max="7171" width="20.6640625" customWidth="1"/>
    <col min="7172" max="7172" width="10.33203125" customWidth="1"/>
    <col min="7173" max="7173" width="17.6640625" customWidth="1"/>
    <col min="7174" max="7174" width="15.83203125" customWidth="1"/>
    <col min="7175" max="7175" width="16" customWidth="1"/>
    <col min="7176" max="7176" width="29.83203125" customWidth="1"/>
    <col min="7425" max="7425" width="22" customWidth="1"/>
    <col min="7427" max="7427" width="20.6640625" customWidth="1"/>
    <col min="7428" max="7428" width="10.33203125" customWidth="1"/>
    <col min="7429" max="7429" width="17.6640625" customWidth="1"/>
    <col min="7430" max="7430" width="15.83203125" customWidth="1"/>
    <col min="7431" max="7431" width="16" customWidth="1"/>
    <col min="7432" max="7432" width="29.83203125" customWidth="1"/>
    <col min="7681" max="7681" width="22" customWidth="1"/>
    <col min="7683" max="7683" width="20.6640625" customWidth="1"/>
    <col min="7684" max="7684" width="10.33203125" customWidth="1"/>
    <col min="7685" max="7685" width="17.6640625" customWidth="1"/>
    <col min="7686" max="7686" width="15.83203125" customWidth="1"/>
    <col min="7687" max="7687" width="16" customWidth="1"/>
    <col min="7688" max="7688" width="29.83203125" customWidth="1"/>
    <col min="7937" max="7937" width="22" customWidth="1"/>
    <col min="7939" max="7939" width="20.6640625" customWidth="1"/>
    <col min="7940" max="7940" width="10.33203125" customWidth="1"/>
    <col min="7941" max="7941" width="17.6640625" customWidth="1"/>
    <col min="7942" max="7942" width="15.83203125" customWidth="1"/>
    <col min="7943" max="7943" width="16" customWidth="1"/>
    <col min="7944" max="7944" width="29.83203125" customWidth="1"/>
    <col min="8193" max="8193" width="22" customWidth="1"/>
    <col min="8195" max="8195" width="20.6640625" customWidth="1"/>
    <col min="8196" max="8196" width="10.33203125" customWidth="1"/>
    <col min="8197" max="8197" width="17.6640625" customWidth="1"/>
    <col min="8198" max="8198" width="15.83203125" customWidth="1"/>
    <col min="8199" max="8199" width="16" customWidth="1"/>
    <col min="8200" max="8200" width="29.83203125" customWidth="1"/>
    <col min="8449" max="8449" width="22" customWidth="1"/>
    <col min="8451" max="8451" width="20.6640625" customWidth="1"/>
    <col min="8452" max="8452" width="10.33203125" customWidth="1"/>
    <col min="8453" max="8453" width="17.6640625" customWidth="1"/>
    <col min="8454" max="8454" width="15.83203125" customWidth="1"/>
    <col min="8455" max="8455" width="16" customWidth="1"/>
    <col min="8456" max="8456" width="29.83203125" customWidth="1"/>
    <col min="8705" max="8705" width="22" customWidth="1"/>
    <col min="8707" max="8707" width="20.6640625" customWidth="1"/>
    <col min="8708" max="8708" width="10.33203125" customWidth="1"/>
    <col min="8709" max="8709" width="17.6640625" customWidth="1"/>
    <col min="8710" max="8710" width="15.83203125" customWidth="1"/>
    <col min="8711" max="8711" width="16" customWidth="1"/>
    <col min="8712" max="8712" width="29.83203125" customWidth="1"/>
    <col min="8961" max="8961" width="22" customWidth="1"/>
    <col min="8963" max="8963" width="20.6640625" customWidth="1"/>
    <col min="8964" max="8964" width="10.33203125" customWidth="1"/>
    <col min="8965" max="8965" width="17.6640625" customWidth="1"/>
    <col min="8966" max="8966" width="15.83203125" customWidth="1"/>
    <col min="8967" max="8967" width="16" customWidth="1"/>
    <col min="8968" max="8968" width="29.83203125" customWidth="1"/>
    <col min="9217" max="9217" width="22" customWidth="1"/>
    <col min="9219" max="9219" width="20.6640625" customWidth="1"/>
    <col min="9220" max="9220" width="10.33203125" customWidth="1"/>
    <col min="9221" max="9221" width="17.6640625" customWidth="1"/>
    <col min="9222" max="9222" width="15.83203125" customWidth="1"/>
    <col min="9223" max="9223" width="16" customWidth="1"/>
    <col min="9224" max="9224" width="29.83203125" customWidth="1"/>
    <col min="9473" max="9473" width="22" customWidth="1"/>
    <col min="9475" max="9475" width="20.6640625" customWidth="1"/>
    <col min="9476" max="9476" width="10.33203125" customWidth="1"/>
    <col min="9477" max="9477" width="17.6640625" customWidth="1"/>
    <col min="9478" max="9478" width="15.83203125" customWidth="1"/>
    <col min="9479" max="9479" width="16" customWidth="1"/>
    <col min="9480" max="9480" width="29.83203125" customWidth="1"/>
    <col min="9729" max="9729" width="22" customWidth="1"/>
    <col min="9731" max="9731" width="20.6640625" customWidth="1"/>
    <col min="9732" max="9732" width="10.33203125" customWidth="1"/>
    <col min="9733" max="9733" width="17.6640625" customWidth="1"/>
    <col min="9734" max="9734" width="15.83203125" customWidth="1"/>
    <col min="9735" max="9735" width="16" customWidth="1"/>
    <col min="9736" max="9736" width="29.83203125" customWidth="1"/>
    <col min="9985" max="9985" width="22" customWidth="1"/>
    <col min="9987" max="9987" width="20.6640625" customWidth="1"/>
    <col min="9988" max="9988" width="10.33203125" customWidth="1"/>
    <col min="9989" max="9989" width="17.6640625" customWidth="1"/>
    <col min="9990" max="9990" width="15.83203125" customWidth="1"/>
    <col min="9991" max="9991" width="16" customWidth="1"/>
    <col min="9992" max="9992" width="29.83203125" customWidth="1"/>
    <col min="10241" max="10241" width="22" customWidth="1"/>
    <col min="10243" max="10243" width="20.6640625" customWidth="1"/>
    <col min="10244" max="10244" width="10.33203125" customWidth="1"/>
    <col min="10245" max="10245" width="17.6640625" customWidth="1"/>
    <col min="10246" max="10246" width="15.83203125" customWidth="1"/>
    <col min="10247" max="10247" width="16" customWidth="1"/>
    <col min="10248" max="10248" width="29.83203125" customWidth="1"/>
    <col min="10497" max="10497" width="22" customWidth="1"/>
    <col min="10499" max="10499" width="20.6640625" customWidth="1"/>
    <col min="10500" max="10500" width="10.33203125" customWidth="1"/>
    <col min="10501" max="10501" width="17.6640625" customWidth="1"/>
    <col min="10502" max="10502" width="15.83203125" customWidth="1"/>
    <col min="10503" max="10503" width="16" customWidth="1"/>
    <col min="10504" max="10504" width="29.83203125" customWidth="1"/>
    <col min="10753" max="10753" width="22" customWidth="1"/>
    <col min="10755" max="10755" width="20.6640625" customWidth="1"/>
    <col min="10756" max="10756" width="10.33203125" customWidth="1"/>
    <col min="10757" max="10757" width="17.6640625" customWidth="1"/>
    <col min="10758" max="10758" width="15.83203125" customWidth="1"/>
    <col min="10759" max="10759" width="16" customWidth="1"/>
    <col min="10760" max="10760" width="29.83203125" customWidth="1"/>
    <col min="11009" max="11009" width="22" customWidth="1"/>
    <col min="11011" max="11011" width="20.6640625" customWidth="1"/>
    <col min="11012" max="11012" width="10.33203125" customWidth="1"/>
    <col min="11013" max="11013" width="17.6640625" customWidth="1"/>
    <col min="11014" max="11014" width="15.83203125" customWidth="1"/>
    <col min="11015" max="11015" width="16" customWidth="1"/>
    <col min="11016" max="11016" width="29.83203125" customWidth="1"/>
    <col min="11265" max="11265" width="22" customWidth="1"/>
    <col min="11267" max="11267" width="20.6640625" customWidth="1"/>
    <col min="11268" max="11268" width="10.33203125" customWidth="1"/>
    <col min="11269" max="11269" width="17.6640625" customWidth="1"/>
    <col min="11270" max="11270" width="15.83203125" customWidth="1"/>
    <col min="11271" max="11271" width="16" customWidth="1"/>
    <col min="11272" max="11272" width="29.83203125" customWidth="1"/>
    <col min="11521" max="11521" width="22" customWidth="1"/>
    <col min="11523" max="11523" width="20.6640625" customWidth="1"/>
    <col min="11524" max="11524" width="10.33203125" customWidth="1"/>
    <col min="11525" max="11525" width="17.6640625" customWidth="1"/>
    <col min="11526" max="11526" width="15.83203125" customWidth="1"/>
    <col min="11527" max="11527" width="16" customWidth="1"/>
    <col min="11528" max="11528" width="29.83203125" customWidth="1"/>
    <col min="11777" max="11777" width="22" customWidth="1"/>
    <col min="11779" max="11779" width="20.6640625" customWidth="1"/>
    <col min="11780" max="11780" width="10.33203125" customWidth="1"/>
    <col min="11781" max="11781" width="17.6640625" customWidth="1"/>
    <col min="11782" max="11782" width="15.83203125" customWidth="1"/>
    <col min="11783" max="11783" width="16" customWidth="1"/>
    <col min="11784" max="11784" width="29.83203125" customWidth="1"/>
    <col min="12033" max="12033" width="22" customWidth="1"/>
    <col min="12035" max="12035" width="20.6640625" customWidth="1"/>
    <col min="12036" max="12036" width="10.33203125" customWidth="1"/>
    <col min="12037" max="12037" width="17.6640625" customWidth="1"/>
    <col min="12038" max="12038" width="15.83203125" customWidth="1"/>
    <col min="12039" max="12039" width="16" customWidth="1"/>
    <col min="12040" max="12040" width="29.83203125" customWidth="1"/>
    <col min="12289" max="12289" width="22" customWidth="1"/>
    <col min="12291" max="12291" width="20.6640625" customWidth="1"/>
    <col min="12292" max="12292" width="10.33203125" customWidth="1"/>
    <col min="12293" max="12293" width="17.6640625" customWidth="1"/>
    <col min="12294" max="12294" width="15.83203125" customWidth="1"/>
    <col min="12295" max="12295" width="16" customWidth="1"/>
    <col min="12296" max="12296" width="29.83203125" customWidth="1"/>
    <col min="12545" max="12545" width="22" customWidth="1"/>
    <col min="12547" max="12547" width="20.6640625" customWidth="1"/>
    <col min="12548" max="12548" width="10.33203125" customWidth="1"/>
    <col min="12549" max="12549" width="17.6640625" customWidth="1"/>
    <col min="12550" max="12550" width="15.83203125" customWidth="1"/>
    <col min="12551" max="12551" width="16" customWidth="1"/>
    <col min="12552" max="12552" width="29.83203125" customWidth="1"/>
    <col min="12801" max="12801" width="22" customWidth="1"/>
    <col min="12803" max="12803" width="20.6640625" customWidth="1"/>
    <col min="12804" max="12804" width="10.33203125" customWidth="1"/>
    <col min="12805" max="12805" width="17.6640625" customWidth="1"/>
    <col min="12806" max="12806" width="15.83203125" customWidth="1"/>
    <col min="12807" max="12807" width="16" customWidth="1"/>
    <col min="12808" max="12808" width="29.83203125" customWidth="1"/>
    <col min="13057" max="13057" width="22" customWidth="1"/>
    <col min="13059" max="13059" width="20.6640625" customWidth="1"/>
    <col min="13060" max="13060" width="10.33203125" customWidth="1"/>
    <col min="13061" max="13061" width="17.6640625" customWidth="1"/>
    <col min="13062" max="13062" width="15.83203125" customWidth="1"/>
    <col min="13063" max="13063" width="16" customWidth="1"/>
    <col min="13064" max="13064" width="29.83203125" customWidth="1"/>
    <col min="13313" max="13313" width="22" customWidth="1"/>
    <col min="13315" max="13315" width="20.6640625" customWidth="1"/>
    <col min="13316" max="13316" width="10.33203125" customWidth="1"/>
    <col min="13317" max="13317" width="17.6640625" customWidth="1"/>
    <col min="13318" max="13318" width="15.83203125" customWidth="1"/>
    <col min="13319" max="13319" width="16" customWidth="1"/>
    <col min="13320" max="13320" width="29.83203125" customWidth="1"/>
    <col min="13569" max="13569" width="22" customWidth="1"/>
    <col min="13571" max="13571" width="20.6640625" customWidth="1"/>
    <col min="13572" max="13572" width="10.33203125" customWidth="1"/>
    <col min="13573" max="13573" width="17.6640625" customWidth="1"/>
    <col min="13574" max="13574" width="15.83203125" customWidth="1"/>
    <col min="13575" max="13575" width="16" customWidth="1"/>
    <col min="13576" max="13576" width="29.83203125" customWidth="1"/>
    <col min="13825" max="13825" width="22" customWidth="1"/>
    <col min="13827" max="13827" width="20.6640625" customWidth="1"/>
    <col min="13828" max="13828" width="10.33203125" customWidth="1"/>
    <col min="13829" max="13829" width="17.6640625" customWidth="1"/>
    <col min="13830" max="13830" width="15.83203125" customWidth="1"/>
    <col min="13831" max="13831" width="16" customWidth="1"/>
    <col min="13832" max="13832" width="29.83203125" customWidth="1"/>
    <col min="14081" max="14081" width="22" customWidth="1"/>
    <col min="14083" max="14083" width="20.6640625" customWidth="1"/>
    <col min="14084" max="14084" width="10.33203125" customWidth="1"/>
    <col min="14085" max="14085" width="17.6640625" customWidth="1"/>
    <col min="14086" max="14086" width="15.83203125" customWidth="1"/>
    <col min="14087" max="14087" width="16" customWidth="1"/>
    <col min="14088" max="14088" width="29.83203125" customWidth="1"/>
    <col min="14337" max="14337" width="22" customWidth="1"/>
    <col min="14339" max="14339" width="20.6640625" customWidth="1"/>
    <col min="14340" max="14340" width="10.33203125" customWidth="1"/>
    <col min="14341" max="14341" width="17.6640625" customWidth="1"/>
    <col min="14342" max="14342" width="15.83203125" customWidth="1"/>
    <col min="14343" max="14343" width="16" customWidth="1"/>
    <col min="14344" max="14344" width="29.83203125" customWidth="1"/>
    <col min="14593" max="14593" width="22" customWidth="1"/>
    <col min="14595" max="14595" width="20.6640625" customWidth="1"/>
    <col min="14596" max="14596" width="10.33203125" customWidth="1"/>
    <col min="14597" max="14597" width="17.6640625" customWidth="1"/>
    <col min="14598" max="14598" width="15.83203125" customWidth="1"/>
    <col min="14599" max="14599" width="16" customWidth="1"/>
    <col min="14600" max="14600" width="29.83203125" customWidth="1"/>
    <col min="14849" max="14849" width="22" customWidth="1"/>
    <col min="14851" max="14851" width="20.6640625" customWidth="1"/>
    <col min="14852" max="14852" width="10.33203125" customWidth="1"/>
    <col min="14853" max="14853" width="17.6640625" customWidth="1"/>
    <col min="14854" max="14854" width="15.83203125" customWidth="1"/>
    <col min="14855" max="14855" width="16" customWidth="1"/>
    <col min="14856" max="14856" width="29.83203125" customWidth="1"/>
    <col min="15105" max="15105" width="22" customWidth="1"/>
    <col min="15107" max="15107" width="20.6640625" customWidth="1"/>
    <col min="15108" max="15108" width="10.33203125" customWidth="1"/>
    <col min="15109" max="15109" width="17.6640625" customWidth="1"/>
    <col min="15110" max="15110" width="15.83203125" customWidth="1"/>
    <col min="15111" max="15111" width="16" customWidth="1"/>
    <col min="15112" max="15112" width="29.83203125" customWidth="1"/>
    <col min="15361" max="15361" width="22" customWidth="1"/>
    <col min="15363" max="15363" width="20.6640625" customWidth="1"/>
    <col min="15364" max="15364" width="10.33203125" customWidth="1"/>
    <col min="15365" max="15365" width="17.6640625" customWidth="1"/>
    <col min="15366" max="15366" width="15.83203125" customWidth="1"/>
    <col min="15367" max="15367" width="16" customWidth="1"/>
    <col min="15368" max="15368" width="29.83203125" customWidth="1"/>
    <col min="15617" max="15617" width="22" customWidth="1"/>
    <col min="15619" max="15619" width="20.6640625" customWidth="1"/>
    <col min="15620" max="15620" width="10.33203125" customWidth="1"/>
    <col min="15621" max="15621" width="17.6640625" customWidth="1"/>
    <col min="15622" max="15622" width="15.83203125" customWidth="1"/>
    <col min="15623" max="15623" width="16" customWidth="1"/>
    <col min="15624" max="15624" width="29.83203125" customWidth="1"/>
    <col min="15873" max="15873" width="22" customWidth="1"/>
    <col min="15875" max="15875" width="20.6640625" customWidth="1"/>
    <col min="15876" max="15876" width="10.33203125" customWidth="1"/>
    <col min="15877" max="15877" width="17.6640625" customWidth="1"/>
    <col min="15878" max="15878" width="15.83203125" customWidth="1"/>
    <col min="15879" max="15879" width="16" customWidth="1"/>
    <col min="15880" max="15880" width="29.83203125" customWidth="1"/>
    <col min="16129" max="16129" width="22" customWidth="1"/>
    <col min="16131" max="16131" width="20.6640625" customWidth="1"/>
    <col min="16132" max="16132" width="10.33203125" customWidth="1"/>
    <col min="16133" max="16133" width="17.6640625" customWidth="1"/>
    <col min="16134" max="16134" width="15.83203125" customWidth="1"/>
    <col min="16135" max="16135" width="16" customWidth="1"/>
    <col min="16136" max="16136" width="29.83203125" customWidth="1"/>
  </cols>
  <sheetData>
    <row r="1" spans="1:8" ht="19">
      <c r="A1" s="511" t="s">
        <v>415</v>
      </c>
      <c r="B1" s="512"/>
      <c r="C1" s="513"/>
      <c r="D1" s="512"/>
      <c r="E1" s="511" t="s">
        <v>416</v>
      </c>
      <c r="F1" s="514"/>
      <c r="G1" s="514"/>
      <c r="H1" s="514"/>
    </row>
    <row r="2" spans="1:8">
      <c r="A2" s="512"/>
      <c r="B2" s="512"/>
      <c r="C2" s="512"/>
      <c r="D2" s="512"/>
      <c r="E2" s="512"/>
      <c r="F2" s="514"/>
      <c r="G2" s="514"/>
      <c r="H2" s="514"/>
    </row>
    <row r="3" spans="1:8" ht="19">
      <c r="A3" s="511" t="s">
        <v>417</v>
      </c>
      <c r="B3" s="512"/>
      <c r="C3" s="515" t="s">
        <v>398</v>
      </c>
      <c r="D3" s="512"/>
      <c r="E3" s="512"/>
      <c r="F3" s="514"/>
      <c r="G3" s="514"/>
      <c r="H3" s="514"/>
    </row>
    <row r="4" spans="1:8">
      <c r="A4" s="512"/>
      <c r="B4" s="512"/>
      <c r="C4" s="512"/>
      <c r="D4" s="512"/>
      <c r="E4" s="512"/>
      <c r="F4" s="514"/>
      <c r="G4" s="514"/>
      <c r="H4" s="514"/>
    </row>
    <row r="5" spans="1:8" ht="19">
      <c r="A5" s="511" t="s">
        <v>418</v>
      </c>
      <c r="B5" s="516"/>
      <c r="C5" s="517"/>
      <c r="D5" s="512"/>
      <c r="E5" s="512"/>
      <c r="F5" s="514"/>
      <c r="G5" s="514"/>
      <c r="H5" s="514"/>
    </row>
    <row r="6" spans="1:8">
      <c r="A6" s="514"/>
      <c r="B6" s="514"/>
      <c r="C6" s="514"/>
      <c r="D6" s="514"/>
      <c r="E6" s="514"/>
      <c r="F6" s="514"/>
      <c r="G6" s="514"/>
      <c r="H6" s="514"/>
    </row>
    <row r="7" spans="1:8" ht="16">
      <c r="A7" s="518" t="s">
        <v>419</v>
      </c>
      <c r="B7" s="514"/>
      <c r="C7" s="514"/>
      <c r="D7" s="514"/>
      <c r="E7" s="514"/>
      <c r="F7" s="514"/>
      <c r="G7" s="514"/>
      <c r="H7" s="514"/>
    </row>
    <row r="8" spans="1:8" ht="14" thickBot="1">
      <c r="A8" s="514"/>
      <c r="B8" s="514"/>
      <c r="C8" s="514"/>
      <c r="D8" s="514"/>
      <c r="E8" s="514"/>
      <c r="F8" s="514"/>
      <c r="G8" s="514"/>
      <c r="H8" s="514"/>
    </row>
    <row r="9" spans="1:8">
      <c r="A9" s="519"/>
      <c r="B9" s="520"/>
      <c r="C9" s="520"/>
      <c r="D9" s="520"/>
      <c r="E9" s="520"/>
      <c r="F9" s="520"/>
      <c r="G9" s="520"/>
      <c r="H9" s="521"/>
    </row>
    <row r="10" spans="1:8" ht="22">
      <c r="A10" s="522" t="s">
        <v>420</v>
      </c>
      <c r="B10" s="523"/>
      <c r="C10" s="523"/>
      <c r="D10" s="523"/>
      <c r="E10" s="524"/>
      <c r="F10" s="525"/>
      <c r="G10" s="526"/>
      <c r="H10" s="527"/>
    </row>
    <row r="11" spans="1:8" ht="16">
      <c r="A11" s="653" t="s">
        <v>421</v>
      </c>
      <c r="B11" s="654"/>
      <c r="C11" s="654"/>
      <c r="D11" s="654"/>
      <c r="E11" s="654"/>
      <c r="F11" s="655"/>
      <c r="G11" s="526"/>
      <c r="H11" s="527"/>
    </row>
    <row r="12" spans="1:8" ht="90">
      <c r="A12" s="528"/>
      <c r="B12" s="526"/>
      <c r="C12" s="529" t="s">
        <v>422</v>
      </c>
      <c r="D12" s="529" t="s">
        <v>423</v>
      </c>
      <c r="E12" s="530" t="s">
        <v>424</v>
      </c>
      <c r="F12" s="530" t="s">
        <v>425</v>
      </c>
      <c r="G12" s="530" t="s">
        <v>426</v>
      </c>
      <c r="H12" s="531" t="s">
        <v>427</v>
      </c>
    </row>
    <row r="13" spans="1:8" ht="15">
      <c r="A13" s="532" t="s">
        <v>428</v>
      </c>
      <c r="B13" s="533">
        <v>1</v>
      </c>
      <c r="C13" s="534">
        <v>14</v>
      </c>
      <c r="D13" s="534">
        <v>92</v>
      </c>
      <c r="E13" s="535">
        <v>8.35</v>
      </c>
      <c r="F13" s="535">
        <v>6.5</v>
      </c>
      <c r="G13" s="534">
        <v>55</v>
      </c>
      <c r="H13" s="656" t="s">
        <v>429</v>
      </c>
    </row>
    <row r="14" spans="1:8" ht="15">
      <c r="A14" s="532" t="s">
        <v>430</v>
      </c>
      <c r="B14" s="533">
        <v>2</v>
      </c>
      <c r="C14" s="536">
        <v>18</v>
      </c>
      <c r="D14" s="534">
        <v>58</v>
      </c>
      <c r="E14" s="535">
        <v>6.6279450616537376</v>
      </c>
      <c r="F14" s="535">
        <v>4.42</v>
      </c>
      <c r="G14" s="534">
        <v>23</v>
      </c>
      <c r="H14" s="657"/>
    </row>
    <row r="15" spans="1:8" ht="15">
      <c r="A15" s="532" t="s">
        <v>431</v>
      </c>
      <c r="B15" s="533">
        <v>3</v>
      </c>
      <c r="C15" s="537">
        <v>23</v>
      </c>
      <c r="D15" s="537">
        <v>56</v>
      </c>
      <c r="E15" s="535">
        <v>14.01</v>
      </c>
      <c r="F15" s="535">
        <v>11.55</v>
      </c>
      <c r="G15" s="538">
        <v>36</v>
      </c>
      <c r="H15" s="657"/>
    </row>
    <row r="16" spans="1:8" ht="15">
      <c r="A16" s="539" t="s">
        <v>432</v>
      </c>
      <c r="B16" s="540">
        <v>4</v>
      </c>
      <c r="C16" s="536">
        <v>29</v>
      </c>
      <c r="D16" s="534">
        <v>159</v>
      </c>
      <c r="E16" s="541">
        <v>8.19</v>
      </c>
      <c r="F16" s="541">
        <v>8.18</v>
      </c>
      <c r="G16" s="534">
        <v>71</v>
      </c>
      <c r="H16" s="657"/>
    </row>
    <row r="17" spans="1:8" ht="18" thickBot="1">
      <c r="A17" s="542" t="s">
        <v>416</v>
      </c>
      <c r="B17" s="543" t="s">
        <v>173</v>
      </c>
      <c r="C17" s="544">
        <f>SUM(C13:C16)</f>
        <v>84</v>
      </c>
      <c r="D17" s="544">
        <f>SUM(D13:D16)</f>
        <v>365</v>
      </c>
      <c r="E17" s="545">
        <v>8.7100000000000009</v>
      </c>
      <c r="F17" s="545">
        <v>7.59</v>
      </c>
      <c r="G17" s="544">
        <f>SUM(G13:G16)</f>
        <v>185</v>
      </c>
      <c r="H17" s="658"/>
    </row>
    <row r="18" spans="1:8" ht="20.25" customHeight="1">
      <c r="A18" s="653" t="s">
        <v>433</v>
      </c>
      <c r="B18" s="654"/>
      <c r="C18" s="654"/>
      <c r="D18" s="654"/>
      <c r="E18" s="654"/>
      <c r="F18" s="655"/>
      <c r="G18" s="526"/>
      <c r="H18" s="527"/>
    </row>
    <row r="19" spans="1:8" ht="90">
      <c r="A19" s="528"/>
      <c r="B19" s="526"/>
      <c r="C19" s="529" t="s">
        <v>434</v>
      </c>
      <c r="D19" s="529" t="s">
        <v>423</v>
      </c>
      <c r="E19" s="530" t="s">
        <v>424</v>
      </c>
      <c r="F19" s="530" t="s">
        <v>425</v>
      </c>
      <c r="G19" s="530" t="s">
        <v>426</v>
      </c>
      <c r="H19" s="531" t="s">
        <v>427</v>
      </c>
    </row>
    <row r="20" spans="1:8" ht="16">
      <c r="A20" s="546" t="s">
        <v>428</v>
      </c>
      <c r="B20" s="547">
        <v>1</v>
      </c>
      <c r="C20" s="548">
        <v>9</v>
      </c>
      <c r="D20" s="548">
        <v>68</v>
      </c>
      <c r="E20" s="549">
        <v>-0.78</v>
      </c>
      <c r="F20" s="549">
        <v>-1.06</v>
      </c>
      <c r="G20" s="548">
        <v>42</v>
      </c>
      <c r="H20" s="659" t="s">
        <v>435</v>
      </c>
    </row>
    <row r="21" spans="1:8" ht="16">
      <c r="A21" s="546" t="s">
        <v>430</v>
      </c>
      <c r="B21" s="547">
        <v>2</v>
      </c>
      <c r="C21" s="548">
        <v>0</v>
      </c>
      <c r="D21" s="548">
        <v>0</v>
      </c>
      <c r="E21" s="550">
        <v>0</v>
      </c>
      <c r="F21" s="550">
        <v>0</v>
      </c>
      <c r="G21" s="548">
        <v>0</v>
      </c>
      <c r="H21" s="660"/>
    </row>
    <row r="22" spans="1:8" ht="16">
      <c r="A22" s="546" t="s">
        <v>431</v>
      </c>
      <c r="B22" s="547">
        <v>3</v>
      </c>
      <c r="C22" s="551">
        <v>5</v>
      </c>
      <c r="D22" s="552">
        <v>32</v>
      </c>
      <c r="E22" s="553">
        <v>0.76</v>
      </c>
      <c r="F22" s="553">
        <v>1.4</v>
      </c>
      <c r="G22" s="552">
        <v>16</v>
      </c>
      <c r="H22" s="660"/>
    </row>
    <row r="23" spans="1:8" ht="16">
      <c r="A23" s="554" t="s">
        <v>432</v>
      </c>
      <c r="B23" s="555">
        <v>4</v>
      </c>
      <c r="C23" s="548">
        <v>0</v>
      </c>
      <c r="D23" s="548">
        <v>45</v>
      </c>
      <c r="E23" s="550">
        <v>-1.0900000000000001</v>
      </c>
      <c r="F23" s="550">
        <v>-6.29</v>
      </c>
      <c r="G23" s="548">
        <v>39</v>
      </c>
      <c r="H23" s="660"/>
    </row>
    <row r="24" spans="1:8" ht="17" thickBot="1">
      <c r="A24" s="556" t="s">
        <v>416</v>
      </c>
      <c r="B24" s="557" t="s">
        <v>173</v>
      </c>
      <c r="C24" s="557">
        <v>14</v>
      </c>
      <c r="D24" s="557">
        <v>145</v>
      </c>
      <c r="E24" s="558">
        <v>-0.38</v>
      </c>
      <c r="F24" s="558">
        <v>-1.6</v>
      </c>
      <c r="G24" s="557">
        <v>81</v>
      </c>
      <c r="H24" s="661"/>
    </row>
    <row r="25" spans="1:8" ht="16">
      <c r="A25" s="653" t="s">
        <v>436</v>
      </c>
      <c r="B25" s="654"/>
      <c r="C25" s="654"/>
      <c r="D25" s="654"/>
      <c r="E25" s="654"/>
      <c r="F25" s="655"/>
      <c r="G25" s="526"/>
      <c r="H25" s="527"/>
    </row>
    <row r="26" spans="1:8" ht="90">
      <c r="A26" s="528"/>
      <c r="B26" s="526"/>
      <c r="C26" s="529" t="s">
        <v>437</v>
      </c>
      <c r="D26" s="529" t="s">
        <v>423</v>
      </c>
      <c r="E26" s="530" t="s">
        <v>424</v>
      </c>
      <c r="F26" s="530" t="s">
        <v>425</v>
      </c>
      <c r="G26" s="530" t="s">
        <v>426</v>
      </c>
      <c r="H26" s="531" t="s">
        <v>427</v>
      </c>
    </row>
    <row r="27" spans="1:8" ht="23">
      <c r="A27" s="532" t="s">
        <v>428</v>
      </c>
      <c r="B27" s="533">
        <v>1</v>
      </c>
      <c r="C27" s="559">
        <v>12</v>
      </c>
      <c r="D27" s="559">
        <v>60</v>
      </c>
      <c r="E27" s="560">
        <v>1.73</v>
      </c>
      <c r="F27" s="561">
        <v>1.3</v>
      </c>
      <c r="G27" s="559">
        <v>37</v>
      </c>
      <c r="H27" s="662" t="s">
        <v>435</v>
      </c>
    </row>
    <row r="28" spans="1:8" ht="23">
      <c r="A28" s="532" t="s">
        <v>430</v>
      </c>
      <c r="B28" s="533">
        <v>2</v>
      </c>
      <c r="C28" s="559">
        <v>29</v>
      </c>
      <c r="D28" s="562">
        <v>250</v>
      </c>
      <c r="E28" s="563">
        <v>1.0608436828000141</v>
      </c>
      <c r="F28" s="564">
        <v>-1.67</v>
      </c>
      <c r="G28" s="559">
        <v>106</v>
      </c>
      <c r="H28" s="663"/>
    </row>
    <row r="29" spans="1:8" ht="23">
      <c r="A29" s="532" t="s">
        <v>431</v>
      </c>
      <c r="B29" s="533">
        <v>3</v>
      </c>
      <c r="C29" s="565">
        <v>8</v>
      </c>
      <c r="D29" s="566">
        <v>57</v>
      </c>
      <c r="E29" s="561">
        <v>1.46</v>
      </c>
      <c r="F29" s="561">
        <v>2.36</v>
      </c>
      <c r="G29" s="538">
        <v>25</v>
      </c>
      <c r="H29" s="663"/>
    </row>
    <row r="30" spans="1:8" ht="23">
      <c r="A30" s="539" t="s">
        <v>432</v>
      </c>
      <c r="B30" s="540">
        <v>4</v>
      </c>
      <c r="C30" s="559">
        <v>3</v>
      </c>
      <c r="D30" s="559">
        <v>144</v>
      </c>
      <c r="E30" s="567">
        <v>0.49</v>
      </c>
      <c r="F30" s="564">
        <v>-3.54</v>
      </c>
      <c r="G30" s="559">
        <v>87</v>
      </c>
      <c r="H30" s="663"/>
    </row>
    <row r="31" spans="1:8" ht="24" thickBot="1">
      <c r="A31" s="542" t="s">
        <v>416</v>
      </c>
      <c r="B31" s="543" t="s">
        <v>173</v>
      </c>
      <c r="C31" s="568">
        <f>SUM(C27:C30)</f>
        <v>52</v>
      </c>
      <c r="D31" s="568">
        <f>SUM(D27:D30)</f>
        <v>511</v>
      </c>
      <c r="E31" s="569">
        <v>0.97</v>
      </c>
      <c r="F31" s="569">
        <v>-1.65</v>
      </c>
      <c r="G31" s="568">
        <f>SUM(G27:G30)</f>
        <v>255</v>
      </c>
      <c r="H31" s="664"/>
    </row>
  </sheetData>
  <mergeCells count="6">
    <mergeCell ref="H27:H31"/>
    <mergeCell ref="A11:F11"/>
    <mergeCell ref="H13:H17"/>
    <mergeCell ref="A18:F18"/>
    <mergeCell ref="H20:H24"/>
    <mergeCell ref="A25:F25"/>
  </mergeCells>
  <pageMargins left="0.7" right="0.7" top="0.75" bottom="0.75" header="0.3" footer="0.3"/>
  <pageSetup paperSize="9" scale="63"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20"/>
  <sheetViews>
    <sheetView view="pageBreakPreview" zoomScale="90" zoomScaleNormal="100" zoomScaleSheetLayoutView="90" workbookViewId="0">
      <selection activeCell="E118" sqref="E118"/>
    </sheetView>
  </sheetViews>
  <sheetFormatPr baseColWidth="10" defaultColWidth="9.1640625" defaultRowHeight="15"/>
  <cols>
    <col min="1" max="1" width="6.33203125" style="149" customWidth="1"/>
    <col min="2" max="2" width="0.5" style="149" hidden="1" customWidth="1"/>
    <col min="3" max="3" width="35.33203125" style="179" customWidth="1"/>
    <col min="4" max="4" width="13.5" style="179" customWidth="1"/>
    <col min="5" max="5" width="19" style="148" bestFit="1" customWidth="1"/>
    <col min="6" max="6" width="14" style="148" customWidth="1"/>
    <col min="7" max="7" width="14.6640625" style="148" customWidth="1"/>
    <col min="8" max="8" width="12.83203125" style="148" customWidth="1"/>
    <col min="9" max="9" width="10.5" style="148" customWidth="1"/>
    <col min="10" max="10" width="13" style="148" customWidth="1"/>
    <col min="11" max="11" width="17.5" style="148" customWidth="1"/>
    <col min="12" max="12" width="18" style="312" customWidth="1"/>
    <col min="13" max="13" width="17.33203125" style="312" bestFit="1" customWidth="1"/>
    <col min="14" max="14" width="0" style="148" hidden="1" customWidth="1"/>
    <col min="15" max="16384" width="9.1640625" style="148"/>
  </cols>
  <sheetData>
    <row r="1" spans="1:13" ht="23">
      <c r="A1" s="588" t="s">
        <v>1</v>
      </c>
      <c r="B1" s="588"/>
      <c r="C1" s="588"/>
      <c r="D1" s="588"/>
      <c r="E1" s="588"/>
      <c r="F1" s="588"/>
      <c r="G1" s="588"/>
      <c r="H1" s="588"/>
    </row>
    <row r="2" spans="1:13" ht="2.25" hidden="1" customHeight="1">
      <c r="C2" s="150"/>
      <c r="D2" s="150"/>
    </row>
    <row r="3" spans="1:13" ht="24" thickBot="1">
      <c r="A3" s="588" t="s">
        <v>2</v>
      </c>
      <c r="B3" s="588"/>
      <c r="C3" s="588"/>
      <c r="D3" s="588"/>
      <c r="E3" s="588"/>
      <c r="F3" s="588"/>
      <c r="G3" s="588"/>
      <c r="H3" s="588"/>
      <c r="I3" s="589" t="s">
        <v>128</v>
      </c>
      <c r="J3" s="589"/>
    </row>
    <row r="4" spans="1:13" ht="3" hidden="1" customHeight="1" thickBot="1">
      <c r="A4" s="151"/>
      <c r="B4" s="151"/>
      <c r="C4" s="151"/>
      <c r="D4" s="151"/>
      <c r="E4" s="221"/>
      <c r="F4" s="221"/>
      <c r="G4" s="221"/>
      <c r="H4" s="221"/>
      <c r="I4" s="222"/>
      <c r="J4" s="222"/>
    </row>
    <row r="5" spans="1:13" ht="29.25" customHeight="1" thickBot="1">
      <c r="A5" s="152"/>
      <c r="B5" s="153"/>
      <c r="C5" s="154"/>
      <c r="D5" s="155"/>
      <c r="E5" s="583" t="str">
        <f>Glance!E63</f>
        <v>Current Year 22-23</v>
      </c>
      <c r="F5" s="584"/>
      <c r="G5" s="583" t="str">
        <f>Glance!G63</f>
        <v>Previous  Year 21-22*</v>
      </c>
      <c r="H5" s="584"/>
      <c r="I5" s="590" t="s">
        <v>4</v>
      </c>
      <c r="J5" s="591"/>
    </row>
    <row r="6" spans="1:13" ht="0.75" hidden="1" customHeight="1" thickBot="1">
      <c r="A6" s="156"/>
      <c r="B6" s="157"/>
      <c r="C6" s="158" t="s">
        <v>5</v>
      </c>
      <c r="D6" s="158"/>
      <c r="E6" s="235"/>
      <c r="F6" s="235"/>
      <c r="G6" s="235"/>
      <c r="H6" s="235"/>
      <c r="I6" s="158"/>
      <c r="J6" s="243"/>
    </row>
    <row r="7" spans="1:13" s="189" customFormat="1" ht="49" thickBot="1">
      <c r="A7" s="185"/>
      <c r="B7" s="186"/>
      <c r="C7" s="187"/>
      <c r="D7" s="188"/>
      <c r="E7" s="244" t="str">
        <f>Glance!E65</f>
        <v>1st  Quarter Apr'22 to Jun'22</v>
      </c>
      <c r="F7" s="245" t="str">
        <f>Glance!F65</f>
        <v xml:space="preserve">Cumulative Up to 1st quarter </v>
      </c>
      <c r="G7" s="244" t="str">
        <f>Glance!G65</f>
        <v>1st  Quarter  Apr'21 to Jun'21</v>
      </c>
      <c r="H7" s="245" t="str">
        <f>Glance!H65</f>
        <v>Cumulative Up to 1st quarter</v>
      </c>
      <c r="I7" s="246" t="str">
        <f>Glance!I65</f>
        <v>1st Quarter</v>
      </c>
      <c r="J7" s="247" t="str">
        <f>Glance!J65</f>
        <v>Cumulative up to 1st Qtr</v>
      </c>
      <c r="L7" s="313"/>
      <c r="M7" s="313"/>
    </row>
    <row r="8" spans="1:13" s="162" customFormat="1" ht="18">
      <c r="A8" s="159" t="s">
        <v>6</v>
      </c>
      <c r="B8" s="160"/>
      <c r="C8" s="161" t="s">
        <v>7</v>
      </c>
      <c r="D8" s="161"/>
      <c r="E8" s="176"/>
      <c r="F8" s="177"/>
      <c r="G8" s="176"/>
      <c r="H8" s="177"/>
      <c r="I8" s="176"/>
      <c r="J8" s="177"/>
      <c r="L8" s="314"/>
      <c r="M8" s="314"/>
    </row>
    <row r="9" spans="1:13">
      <c r="A9" s="163"/>
      <c r="B9" s="164"/>
      <c r="C9" s="165" t="s">
        <v>8</v>
      </c>
      <c r="D9" s="146"/>
      <c r="E9" s="183">
        <f>+HT!C11+HT!C13+HT!C15+HT!C29</f>
        <v>5084</v>
      </c>
      <c r="F9" s="183">
        <f>E9</f>
        <v>5084</v>
      </c>
      <c r="G9" s="183">
        <v>4581</v>
      </c>
      <c r="H9" s="145">
        <f>G9</f>
        <v>4581</v>
      </c>
      <c r="I9" s="181">
        <f>+(E9-G9)/G9*100</f>
        <v>10.980135341628465</v>
      </c>
      <c r="J9" s="182">
        <f>+(F9-H9)/H9*100</f>
        <v>10.980135341628465</v>
      </c>
    </row>
    <row r="10" spans="1:13">
      <c r="A10" s="163"/>
      <c r="B10" s="164"/>
      <c r="C10" s="165" t="s">
        <v>9</v>
      </c>
      <c r="D10" s="146"/>
      <c r="E10" s="472"/>
      <c r="F10" s="472"/>
      <c r="G10" s="470"/>
      <c r="H10" s="201"/>
      <c r="I10" s="181"/>
      <c r="J10" s="182"/>
    </row>
    <row r="11" spans="1:13">
      <c r="A11" s="163"/>
      <c r="B11" s="164"/>
      <c r="C11" s="165" t="s">
        <v>10</v>
      </c>
      <c r="D11" s="146"/>
      <c r="E11" s="472"/>
      <c r="F11" s="472"/>
      <c r="G11" s="470"/>
      <c r="H11" s="201"/>
      <c r="I11" s="181"/>
      <c r="J11" s="182"/>
    </row>
    <row r="12" spans="1:13">
      <c r="A12" s="163"/>
      <c r="B12" s="164"/>
      <c r="C12" s="166" t="s">
        <v>11</v>
      </c>
      <c r="D12" s="143"/>
      <c r="E12" s="240">
        <f>E9+E10+E11</f>
        <v>5084</v>
      </c>
      <c r="F12" s="240">
        <f>F9+F10+F11</f>
        <v>5084</v>
      </c>
      <c r="G12" s="471">
        <v>4581</v>
      </c>
      <c r="H12" s="239">
        <f>SUM(H9:H11)</f>
        <v>4581</v>
      </c>
      <c r="I12" s="181">
        <f t="shared" ref="I12:J20" si="0">+(E12-G12)/G12*100</f>
        <v>10.980135341628465</v>
      </c>
      <c r="J12" s="182">
        <f t="shared" si="0"/>
        <v>10.980135341628465</v>
      </c>
      <c r="K12" s="178">
        <f>G12-E12</f>
        <v>-503</v>
      </c>
    </row>
    <row r="13" spans="1:13">
      <c r="A13" s="163"/>
      <c r="B13" s="164"/>
      <c r="C13" s="165" t="s">
        <v>37</v>
      </c>
      <c r="D13" s="146"/>
      <c r="E13" s="183">
        <f>+LT!D55</f>
        <v>2773375</v>
      </c>
      <c r="F13" s="183">
        <f>E13</f>
        <v>2773375</v>
      </c>
      <c r="G13" s="411">
        <v>2729349</v>
      </c>
      <c r="H13" s="145">
        <f>G13</f>
        <v>2729349</v>
      </c>
      <c r="I13" s="181">
        <f t="shared" si="0"/>
        <v>1.6130586451201367</v>
      </c>
      <c r="J13" s="182">
        <f t="shared" si="0"/>
        <v>1.6130586451201367</v>
      </c>
      <c r="K13" s="178">
        <f>G13-E13</f>
        <v>-44026</v>
      </c>
    </row>
    <row r="14" spans="1:13">
      <c r="A14" s="163"/>
      <c r="B14" s="164"/>
      <c r="C14" s="165" t="s">
        <v>123</v>
      </c>
      <c r="D14" s="146"/>
      <c r="E14" s="183">
        <f>+LT!D56</f>
        <v>28892</v>
      </c>
      <c r="F14" s="183">
        <f>E14</f>
        <v>28892</v>
      </c>
      <c r="G14" s="411">
        <v>28301</v>
      </c>
      <c r="H14" s="145">
        <f>G14</f>
        <v>28301</v>
      </c>
      <c r="I14" s="181">
        <f t="shared" si="0"/>
        <v>2.0882654323168794</v>
      </c>
      <c r="J14" s="182">
        <f t="shared" si="0"/>
        <v>2.0882654323168794</v>
      </c>
      <c r="K14" s="178">
        <f>G14-E14</f>
        <v>-591</v>
      </c>
    </row>
    <row r="15" spans="1:13">
      <c r="A15" s="163"/>
      <c r="B15" s="164"/>
      <c r="C15" s="165" t="s">
        <v>124</v>
      </c>
      <c r="D15" s="146"/>
      <c r="E15" s="183">
        <f>+LT!D57+LT!D61</f>
        <v>493110</v>
      </c>
      <c r="F15" s="183">
        <f>E15</f>
        <v>493110</v>
      </c>
      <c r="G15" s="411">
        <v>472610</v>
      </c>
      <c r="H15" s="145">
        <f>G15</f>
        <v>472610</v>
      </c>
      <c r="I15" s="181">
        <f t="shared" si="0"/>
        <v>4.3376145236029711</v>
      </c>
      <c r="J15" s="182">
        <f t="shared" si="0"/>
        <v>4.3376145236029711</v>
      </c>
      <c r="K15" s="178">
        <f>G15-E15</f>
        <v>-20500</v>
      </c>
    </row>
    <row r="16" spans="1:13">
      <c r="A16" s="163"/>
      <c r="B16" s="164"/>
      <c r="C16" s="165" t="s">
        <v>378</v>
      </c>
      <c r="D16" s="146"/>
      <c r="E16" s="183">
        <f>+LT!D58</f>
        <v>37498</v>
      </c>
      <c r="F16" s="183">
        <f>E16</f>
        <v>37498</v>
      </c>
      <c r="G16" s="411">
        <v>34065</v>
      </c>
      <c r="H16" s="145">
        <f>G16</f>
        <v>34065</v>
      </c>
      <c r="I16" s="181">
        <f t="shared" si="0"/>
        <v>10.077792455599589</v>
      </c>
      <c r="J16" s="182">
        <f t="shared" si="0"/>
        <v>10.077792455599589</v>
      </c>
      <c r="K16" s="178">
        <f>G16-E16</f>
        <v>-3433</v>
      </c>
    </row>
    <row r="17" spans="1:13">
      <c r="A17" s="163"/>
      <c r="B17" s="164"/>
      <c r="C17" s="166" t="s">
        <v>12</v>
      </c>
      <c r="D17" s="143"/>
      <c r="E17" s="240">
        <f>SUM(E13:E16)</f>
        <v>3332875</v>
      </c>
      <c r="F17" s="240">
        <f>SUM(F13:F16)</f>
        <v>3332875</v>
      </c>
      <c r="G17" s="238">
        <v>3264325</v>
      </c>
      <c r="H17" s="241">
        <f>SUM(H13:H16)</f>
        <v>3264325</v>
      </c>
      <c r="I17" s="181">
        <f>+(E17-G17)/G17*100</f>
        <v>2.0999747267811877</v>
      </c>
      <c r="J17" s="182">
        <f t="shared" si="0"/>
        <v>2.0999747267811877</v>
      </c>
    </row>
    <row r="18" spans="1:13">
      <c r="A18" s="163"/>
      <c r="B18" s="164"/>
      <c r="C18" s="165" t="s">
        <v>0</v>
      </c>
      <c r="D18" s="146"/>
      <c r="E18" s="183">
        <f>+LT!D59</f>
        <v>210200</v>
      </c>
      <c r="F18" s="183">
        <f>+E18</f>
        <v>210200</v>
      </c>
      <c r="G18" s="411">
        <v>203441</v>
      </c>
      <c r="H18" s="145">
        <f>G18</f>
        <v>203441</v>
      </c>
      <c r="I18" s="181">
        <f t="shared" si="0"/>
        <v>3.3223391548409613</v>
      </c>
      <c r="J18" s="182">
        <f t="shared" si="0"/>
        <v>3.3223391548409613</v>
      </c>
      <c r="K18" s="178">
        <f>G18-E18</f>
        <v>-6759</v>
      </c>
    </row>
    <row r="19" spans="1:13">
      <c r="A19" s="163"/>
      <c r="B19" s="164"/>
      <c r="C19" s="166" t="s">
        <v>13</v>
      </c>
      <c r="D19" s="166"/>
      <c r="E19" s="237">
        <f>SUM(E17:E18)</f>
        <v>3543075</v>
      </c>
      <c r="F19" s="241">
        <f>SUM(F17:F18)</f>
        <v>3543075</v>
      </c>
      <c r="G19" s="237">
        <v>3467766</v>
      </c>
      <c r="H19" s="241">
        <f>SUM(H17:H18)</f>
        <v>3467766</v>
      </c>
      <c r="I19" s="181">
        <f t="shared" si="0"/>
        <v>2.1716863248558296</v>
      </c>
      <c r="J19" s="182">
        <f t="shared" si="0"/>
        <v>2.1716863248558296</v>
      </c>
    </row>
    <row r="20" spans="1:13" s="162" customFormat="1" ht="19" thickBot="1">
      <c r="A20" s="167"/>
      <c r="B20" s="168"/>
      <c r="C20" s="169" t="s">
        <v>14</v>
      </c>
      <c r="D20" s="169"/>
      <c r="E20" s="219">
        <f>E19+E12</f>
        <v>3548159</v>
      </c>
      <c r="F20" s="219">
        <f>F19+F12</f>
        <v>3548159</v>
      </c>
      <c r="G20" s="219">
        <v>3472347</v>
      </c>
      <c r="H20" s="219">
        <f>H19+H12</f>
        <v>3472347</v>
      </c>
      <c r="I20" s="220">
        <f t="shared" si="0"/>
        <v>2.183307140674593</v>
      </c>
      <c r="J20" s="224">
        <f t="shared" si="0"/>
        <v>2.183307140674593</v>
      </c>
      <c r="L20" s="314"/>
      <c r="M20" s="314"/>
    </row>
    <row r="21" spans="1:13" ht="0.75" customHeight="1" thickBot="1">
      <c r="A21" s="156"/>
      <c r="B21" s="164"/>
      <c r="C21" s="170"/>
      <c r="D21" s="170"/>
      <c r="E21" s="225"/>
      <c r="F21" s="175"/>
      <c r="G21" s="225"/>
      <c r="H21" s="175"/>
      <c r="I21" s="226" t="e">
        <f>+(E21-G21)/G21*100</f>
        <v>#DIV/0!</v>
      </c>
      <c r="J21" s="223"/>
    </row>
    <row r="22" spans="1:13" s="162" customFormat="1" ht="18">
      <c r="A22" s="159" t="s">
        <v>15</v>
      </c>
      <c r="B22" s="168"/>
      <c r="C22" s="161" t="s">
        <v>16</v>
      </c>
      <c r="D22" s="161"/>
      <c r="E22" s="176"/>
      <c r="F22" s="177"/>
      <c r="G22" s="176"/>
      <c r="H22" s="177"/>
      <c r="I22" s="176"/>
      <c r="J22" s="177"/>
      <c r="L22" s="314"/>
      <c r="M22" s="314"/>
    </row>
    <row r="23" spans="1:13">
      <c r="A23" s="163"/>
      <c r="B23" s="164"/>
      <c r="C23" s="165" t="s">
        <v>8</v>
      </c>
      <c r="D23" s="171" t="s">
        <v>17</v>
      </c>
      <c r="E23" s="242">
        <v>4112</v>
      </c>
      <c r="F23" s="242">
        <f>E23</f>
        <v>4112</v>
      </c>
      <c r="G23" s="242">
        <v>2605</v>
      </c>
      <c r="H23" s="145">
        <f>+G23</f>
        <v>2605</v>
      </c>
      <c r="I23" s="181">
        <f>+(E23-G23)/G23*100</f>
        <v>57.850287907869479</v>
      </c>
      <c r="J23" s="182">
        <f>+(F23-H23)/H23*100</f>
        <v>57.850287907869479</v>
      </c>
      <c r="K23" s="148" t="e">
        <f>#REF!/$E$34*E23</f>
        <v>#REF!</v>
      </c>
    </row>
    <row r="24" spans="1:13">
      <c r="A24" s="163"/>
      <c r="B24" s="164"/>
      <c r="C24" s="165" t="s">
        <v>9</v>
      </c>
      <c r="D24" s="171" t="s">
        <v>17</v>
      </c>
      <c r="E24" s="144"/>
      <c r="F24" s="145"/>
      <c r="G24" s="144"/>
      <c r="H24" s="145"/>
      <c r="I24" s="181"/>
      <c r="J24" s="182"/>
    </row>
    <row r="25" spans="1:13">
      <c r="A25" s="163"/>
      <c r="B25" s="164"/>
      <c r="C25" s="165" t="s">
        <v>10</v>
      </c>
      <c r="D25" s="171" t="s">
        <v>17</v>
      </c>
      <c r="E25" s="144"/>
      <c r="F25" s="145"/>
      <c r="G25" s="144"/>
      <c r="H25" s="145"/>
      <c r="I25" s="181"/>
      <c r="J25" s="182"/>
    </row>
    <row r="26" spans="1:13" s="179" customFormat="1">
      <c r="A26" s="163"/>
      <c r="B26" s="164"/>
      <c r="C26" s="166" t="s">
        <v>11</v>
      </c>
      <c r="D26" s="171" t="s">
        <v>17</v>
      </c>
      <c r="E26" s="237">
        <f>SUM(E23:E25)</f>
        <v>4112</v>
      </c>
      <c r="F26" s="237">
        <f>SUM(F23:F25)</f>
        <v>4112</v>
      </c>
      <c r="G26" s="237">
        <v>2614.9456380000001</v>
      </c>
      <c r="H26" s="241">
        <f>SUM(H23:H25)</f>
        <v>2605</v>
      </c>
      <c r="I26" s="264">
        <f t="shared" ref="I26:J34" si="1">+(E26-G26)/G26*100</f>
        <v>57.249922914076265</v>
      </c>
      <c r="J26" s="477">
        <f t="shared" si="1"/>
        <v>57.850287907869479</v>
      </c>
      <c r="K26" s="237" t="e">
        <f>SUM(K23:K25)</f>
        <v>#REF!</v>
      </c>
      <c r="L26" s="506"/>
      <c r="M26" s="506"/>
    </row>
    <row r="27" spans="1:13">
      <c r="A27" s="163"/>
      <c r="B27" s="164"/>
      <c r="C27" s="165" t="s">
        <v>37</v>
      </c>
      <c r="D27" s="171" t="s">
        <v>17</v>
      </c>
      <c r="E27" s="242">
        <f>+LT!P9</f>
        <v>1115</v>
      </c>
      <c r="F27" s="242">
        <f t="shared" ref="F27:F32" si="2">E27</f>
        <v>1115</v>
      </c>
      <c r="G27" s="242">
        <v>1038</v>
      </c>
      <c r="H27" s="145">
        <f>+G27</f>
        <v>1038</v>
      </c>
      <c r="I27" s="181">
        <f t="shared" si="1"/>
        <v>7.4181117533718686</v>
      </c>
      <c r="J27" s="182">
        <f t="shared" si="1"/>
        <v>7.4181117533718686</v>
      </c>
      <c r="K27" s="148" t="e">
        <f>#REF!/$E$34*E27</f>
        <v>#REF!</v>
      </c>
    </row>
    <row r="28" spans="1:13">
      <c r="A28" s="163"/>
      <c r="B28" s="164"/>
      <c r="C28" s="165" t="s">
        <v>123</v>
      </c>
      <c r="D28" s="171" t="s">
        <v>17</v>
      </c>
      <c r="E28" s="242">
        <f>+LT!P10</f>
        <v>31</v>
      </c>
      <c r="F28" s="242">
        <f t="shared" si="2"/>
        <v>31</v>
      </c>
      <c r="G28" s="242">
        <v>26</v>
      </c>
      <c r="H28" s="145">
        <f t="shared" ref="H28:H30" si="3">+G28</f>
        <v>26</v>
      </c>
      <c r="I28" s="181">
        <f>+(E28-G28)/G28*100</f>
        <v>19.230769230769234</v>
      </c>
      <c r="J28" s="182">
        <f t="shared" si="1"/>
        <v>19.230769230769234</v>
      </c>
      <c r="K28" s="148" t="e">
        <f>#REF!/$E$34*E28</f>
        <v>#REF!</v>
      </c>
    </row>
    <row r="29" spans="1:13">
      <c r="A29" s="163"/>
      <c r="B29" s="164"/>
      <c r="C29" s="165" t="s">
        <v>124</v>
      </c>
      <c r="D29" s="171" t="s">
        <v>17</v>
      </c>
      <c r="E29" s="242">
        <v>1824</v>
      </c>
      <c r="F29" s="242">
        <f t="shared" si="2"/>
        <v>1824</v>
      </c>
      <c r="G29" s="242">
        <v>1433</v>
      </c>
      <c r="H29" s="145">
        <f t="shared" si="3"/>
        <v>1433</v>
      </c>
      <c r="I29" s="181">
        <f t="shared" si="1"/>
        <v>27.285415212840196</v>
      </c>
      <c r="J29" s="182">
        <f t="shared" si="1"/>
        <v>27.285415212840196</v>
      </c>
      <c r="K29" s="148" t="e">
        <f>#REF!/$E$34*E29</f>
        <v>#REF!</v>
      </c>
    </row>
    <row r="30" spans="1:13">
      <c r="A30" s="163"/>
      <c r="B30" s="164"/>
      <c r="C30" s="165" t="s">
        <v>378</v>
      </c>
      <c r="D30" s="171" t="s">
        <v>17</v>
      </c>
      <c r="E30" s="242">
        <f>80+3</f>
        <v>83</v>
      </c>
      <c r="F30" s="242">
        <f t="shared" si="2"/>
        <v>83</v>
      </c>
      <c r="G30" s="242">
        <f>70+2</f>
        <v>72</v>
      </c>
      <c r="H30" s="145">
        <f t="shared" si="3"/>
        <v>72</v>
      </c>
      <c r="I30" s="181">
        <f t="shared" si="1"/>
        <v>15.277777777777779</v>
      </c>
      <c r="J30" s="182">
        <f t="shared" si="1"/>
        <v>15.277777777777779</v>
      </c>
      <c r="K30" s="148" t="e">
        <f>#REF!/$E$34*E30</f>
        <v>#REF!</v>
      </c>
    </row>
    <row r="31" spans="1:13">
      <c r="A31" s="163"/>
      <c r="B31" s="164"/>
      <c r="C31" s="166" t="s">
        <v>12</v>
      </c>
      <c r="D31" s="171" t="s">
        <v>17</v>
      </c>
      <c r="E31" s="237">
        <f>SUM(E27:E30)</f>
        <v>3053</v>
      </c>
      <c r="F31" s="241">
        <f>SUM(F27:F30)</f>
        <v>3053</v>
      </c>
      <c r="G31" s="237">
        <f>SUM(G27:G30)</f>
        <v>2569</v>
      </c>
      <c r="H31" s="241">
        <f>SUM(H27:H30)</f>
        <v>2569</v>
      </c>
      <c r="I31" s="181">
        <f t="shared" si="1"/>
        <v>18.8400155702608</v>
      </c>
      <c r="J31" s="182">
        <f t="shared" si="1"/>
        <v>18.8400155702608</v>
      </c>
      <c r="K31" s="144" t="e">
        <f>SUM(K27:K30)</f>
        <v>#REF!</v>
      </c>
    </row>
    <row r="32" spans="1:13">
      <c r="A32" s="163"/>
      <c r="B32" s="164"/>
      <c r="C32" s="165" t="s">
        <v>18</v>
      </c>
      <c r="D32" s="171" t="s">
        <v>17</v>
      </c>
      <c r="E32" s="242">
        <v>322</v>
      </c>
      <c r="F32" s="242">
        <f t="shared" si="2"/>
        <v>322</v>
      </c>
      <c r="G32" s="242">
        <v>280</v>
      </c>
      <c r="H32" s="145">
        <f>+G32</f>
        <v>280</v>
      </c>
      <c r="I32" s="181">
        <f t="shared" si="1"/>
        <v>15</v>
      </c>
      <c r="J32" s="182">
        <f t="shared" si="1"/>
        <v>15</v>
      </c>
      <c r="K32" s="180" t="e">
        <f>#REF!/$E$34*E32</f>
        <v>#REF!</v>
      </c>
    </row>
    <row r="33" spans="1:13">
      <c r="A33" s="163"/>
      <c r="B33" s="164"/>
      <c r="C33" s="166" t="s">
        <v>13</v>
      </c>
      <c r="D33" s="171" t="s">
        <v>17</v>
      </c>
      <c r="E33" s="237">
        <f>SUM(E31:E32)</f>
        <v>3375</v>
      </c>
      <c r="F33" s="241">
        <f>SUM(F31:F32)</f>
        <v>3375</v>
      </c>
      <c r="G33" s="237">
        <f>SUM(G31:G32)</f>
        <v>2849</v>
      </c>
      <c r="H33" s="237">
        <f>SUM(H31:H32)</f>
        <v>2849</v>
      </c>
      <c r="I33" s="181">
        <f t="shared" si="1"/>
        <v>18.462618462618462</v>
      </c>
      <c r="J33" s="182">
        <f t="shared" si="1"/>
        <v>18.462618462618462</v>
      </c>
      <c r="K33" s="144" t="e">
        <f>SUM(K31:K32)</f>
        <v>#REF!</v>
      </c>
    </row>
    <row r="34" spans="1:13" s="162" customFormat="1" ht="19" thickBot="1">
      <c r="A34" s="167"/>
      <c r="B34" s="172"/>
      <c r="C34" s="169" t="s">
        <v>14</v>
      </c>
      <c r="D34" s="173" t="s">
        <v>17</v>
      </c>
      <c r="E34" s="248">
        <f>E26+E33</f>
        <v>7487</v>
      </c>
      <c r="F34" s="249">
        <f>+F33+F26</f>
        <v>7487</v>
      </c>
      <c r="G34" s="248">
        <f>G26+G33</f>
        <v>5463.9456380000001</v>
      </c>
      <c r="H34" s="248">
        <f>H26+H33</f>
        <v>5454</v>
      </c>
      <c r="I34" s="220">
        <f t="shared" si="1"/>
        <v>37.025521409479289</v>
      </c>
      <c r="J34" s="224">
        <f t="shared" si="1"/>
        <v>37.275394206087277</v>
      </c>
      <c r="K34" s="218" t="e">
        <f>K26+K33</f>
        <v>#REF!</v>
      </c>
      <c r="L34" s="314"/>
      <c r="M34" s="314"/>
    </row>
    <row r="35" spans="1:13" ht="23.25" customHeight="1" thickBot="1">
      <c r="A35" s="592" t="s">
        <v>1</v>
      </c>
      <c r="B35" s="593"/>
      <c r="C35" s="593"/>
      <c r="D35" s="593"/>
      <c r="E35" s="593"/>
      <c r="F35" s="593"/>
      <c r="G35" s="593"/>
      <c r="H35" s="593"/>
      <c r="I35" s="593"/>
      <c r="J35" s="594"/>
      <c r="K35" s="178"/>
    </row>
    <row r="36" spans="1:13" ht="2.25" hidden="1" customHeight="1" thickBot="1">
      <c r="A36" s="174"/>
      <c r="B36" s="174"/>
      <c r="C36" s="252"/>
      <c r="D36" s="252"/>
      <c r="E36" s="175"/>
      <c r="F36" s="175"/>
      <c r="G36" s="175"/>
      <c r="H36" s="175"/>
      <c r="I36" s="175"/>
      <c r="J36" s="175"/>
    </row>
    <row r="37" spans="1:13" ht="24" thickBot="1">
      <c r="A37" s="595" t="s">
        <v>19</v>
      </c>
      <c r="B37" s="596"/>
      <c r="C37" s="596"/>
      <c r="D37" s="596"/>
      <c r="E37" s="596"/>
      <c r="F37" s="596"/>
      <c r="G37" s="596"/>
      <c r="H37" s="597"/>
      <c r="I37" s="598" t="s">
        <v>3</v>
      </c>
      <c r="J37" s="599"/>
    </row>
    <row r="38" spans="1:13" ht="1.5" hidden="1" customHeight="1" thickBot="1">
      <c r="A38" s="253"/>
      <c r="B38" s="253"/>
      <c r="C38" s="253"/>
      <c r="D38" s="253"/>
      <c r="E38" s="254"/>
      <c r="F38" s="254"/>
      <c r="G38" s="254"/>
      <c r="H38" s="254"/>
      <c r="I38" s="255"/>
      <c r="J38" s="255"/>
    </row>
    <row r="39" spans="1:13" ht="34.5" customHeight="1" thickBot="1">
      <c r="A39" s="251"/>
      <c r="B39" s="256"/>
      <c r="C39" s="154"/>
      <c r="D39" s="154"/>
      <c r="E39" s="583" t="str">
        <f>E5</f>
        <v>Current Year 22-23</v>
      </c>
      <c r="F39" s="584"/>
      <c r="G39" s="583" t="str">
        <f>G5</f>
        <v>Previous  Year 21-22*</v>
      </c>
      <c r="H39" s="584"/>
      <c r="I39" s="600" t="s">
        <v>4</v>
      </c>
      <c r="J39" s="591"/>
    </row>
    <row r="40" spans="1:13" ht="3" hidden="1" customHeight="1" thickBot="1">
      <c r="A40" s="174"/>
      <c r="B40" s="174"/>
      <c r="C40" s="158"/>
      <c r="D40" s="158"/>
      <c r="E40" s="235"/>
      <c r="F40" s="235"/>
      <c r="G40" s="235"/>
      <c r="H40" s="235"/>
      <c r="I40" s="158"/>
      <c r="J40" s="158"/>
    </row>
    <row r="41" spans="1:13" ht="55.5" customHeight="1" thickBot="1">
      <c r="A41" s="251"/>
      <c r="B41" s="256"/>
      <c r="C41" s="257"/>
      <c r="D41" s="258"/>
      <c r="E41" s="259" t="str">
        <f>E7</f>
        <v>1st  Quarter Apr'22 to Jun'22</v>
      </c>
      <c r="F41" s="260" t="s">
        <v>410</v>
      </c>
      <c r="G41" s="259" t="str">
        <f>G7</f>
        <v>1st  Quarter  Apr'21 to Jun'21</v>
      </c>
      <c r="H41" s="260" t="str">
        <f>H7</f>
        <v>Cumulative Up to 1st quarter</v>
      </c>
      <c r="I41" s="261" t="str">
        <f>I7</f>
        <v>1st Quarter</v>
      </c>
      <c r="J41" s="260" t="str">
        <f>J7</f>
        <v>Cumulative up to 1st Qtr</v>
      </c>
    </row>
    <row r="42" spans="1:13" s="162" customFormat="1" ht="18">
      <c r="A42" s="159" t="s">
        <v>21</v>
      </c>
      <c r="B42" s="262"/>
      <c r="C42" s="161" t="s">
        <v>22</v>
      </c>
      <c r="D42" s="263"/>
      <c r="E42" s="176"/>
      <c r="F42" s="177"/>
      <c r="G42" s="176"/>
      <c r="H42" s="177"/>
      <c r="I42" s="176"/>
      <c r="J42" s="177"/>
      <c r="L42" s="314"/>
      <c r="M42" s="314"/>
    </row>
    <row r="43" spans="1:13">
      <c r="A43" s="163"/>
      <c r="B43" s="164"/>
      <c r="C43" s="165" t="s">
        <v>8</v>
      </c>
      <c r="D43" s="171" t="s">
        <v>23</v>
      </c>
      <c r="E43" s="181">
        <f>3100.89+106.85</f>
        <v>3207.74</v>
      </c>
      <c r="F43" s="493">
        <f>E43</f>
        <v>3207.74</v>
      </c>
      <c r="G43" s="181">
        <f>1936.570196607+57.67</f>
        <v>1994.2401966070001</v>
      </c>
      <c r="H43" s="182">
        <f>+G43</f>
        <v>1994.2401966070001</v>
      </c>
      <c r="I43" s="181">
        <f>+(E43-G43)/G43*100</f>
        <v>60.850232858491573</v>
      </c>
      <c r="J43" s="182">
        <f>+(F43-H43)/H43*100</f>
        <v>60.850232858491573</v>
      </c>
    </row>
    <row r="44" spans="1:13">
      <c r="A44" s="163"/>
      <c r="B44" s="164"/>
      <c r="C44" s="165" t="s">
        <v>9</v>
      </c>
      <c r="D44" s="171" t="s">
        <v>23</v>
      </c>
      <c r="E44" s="144"/>
      <c r="F44" s="493"/>
      <c r="G44" s="181"/>
      <c r="H44" s="182"/>
      <c r="I44" s="181"/>
      <c r="J44" s="182"/>
    </row>
    <row r="45" spans="1:13">
      <c r="A45" s="163"/>
      <c r="B45" s="164"/>
      <c r="C45" s="165" t="s">
        <v>10</v>
      </c>
      <c r="D45" s="171" t="s">
        <v>23</v>
      </c>
      <c r="E45" s="181"/>
      <c r="F45" s="493"/>
      <c r="G45" s="181"/>
      <c r="H45" s="182"/>
      <c r="I45" s="181"/>
      <c r="J45" s="182"/>
    </row>
    <row r="46" spans="1:13">
      <c r="A46" s="163"/>
      <c r="B46" s="164"/>
      <c r="C46" s="166" t="s">
        <v>11</v>
      </c>
      <c r="D46" s="171" t="s">
        <v>23</v>
      </c>
      <c r="E46" s="264">
        <f>SUM(E43:E45)</f>
        <v>3207.74</v>
      </c>
      <c r="F46" s="494">
        <f>SUM(F43:F45)</f>
        <v>3207.74</v>
      </c>
      <c r="G46" s="264">
        <f>SUM(G43:G45)</f>
        <v>1994.2401966070001</v>
      </c>
      <c r="H46" s="264">
        <f>SUM(H43:H45)</f>
        <v>1994.2401966070001</v>
      </c>
      <c r="I46" s="264">
        <f t="shared" ref="I46:J54" si="4">+(E46-G46)/G46*100</f>
        <v>60.850232858491573</v>
      </c>
      <c r="J46" s="477">
        <f t="shared" si="4"/>
        <v>60.850232858491573</v>
      </c>
    </row>
    <row r="47" spans="1:13">
      <c r="A47" s="163"/>
      <c r="B47" s="164"/>
      <c r="C47" s="165" t="s">
        <v>37</v>
      </c>
      <c r="D47" s="171" t="s">
        <v>23</v>
      </c>
      <c r="E47" s="181">
        <v>701.46</v>
      </c>
      <c r="F47" s="493">
        <f>E47</f>
        <v>701.46</v>
      </c>
      <c r="G47" s="181">
        <v>589.55999999999995</v>
      </c>
      <c r="H47" s="182">
        <f>+G47</f>
        <v>589.55999999999995</v>
      </c>
      <c r="I47" s="181">
        <f t="shared" si="4"/>
        <v>18.980256462446587</v>
      </c>
      <c r="J47" s="182">
        <f t="shared" si="4"/>
        <v>18.980256462446587</v>
      </c>
    </row>
    <row r="48" spans="1:13">
      <c r="A48" s="163"/>
      <c r="B48" s="164"/>
      <c r="C48" s="165" t="s">
        <v>123</v>
      </c>
      <c r="D48" s="171" t="s">
        <v>23</v>
      </c>
      <c r="E48" s="181">
        <v>20.85</v>
      </c>
      <c r="F48" s="493">
        <f>E48</f>
        <v>20.85</v>
      </c>
      <c r="G48" s="181">
        <v>15.51</v>
      </c>
      <c r="H48" s="182">
        <f>+G48</f>
        <v>15.51</v>
      </c>
      <c r="I48" s="181">
        <f t="shared" si="4"/>
        <v>34.429400386847206</v>
      </c>
      <c r="J48" s="182">
        <f t="shared" si="4"/>
        <v>34.429400386847206</v>
      </c>
    </row>
    <row r="49" spans="1:13">
      <c r="A49" s="163"/>
      <c r="B49" s="164"/>
      <c r="C49" s="165" t="s">
        <v>124</v>
      </c>
      <c r="D49" s="171" t="s">
        <v>23</v>
      </c>
      <c r="E49" s="181">
        <v>1375.16</v>
      </c>
      <c r="F49" s="493">
        <f>E49</f>
        <v>1375.16</v>
      </c>
      <c r="G49" s="181">
        <v>1019.74</v>
      </c>
      <c r="H49" s="182">
        <f>+G49</f>
        <v>1019.74</v>
      </c>
      <c r="I49" s="181">
        <f t="shared" si="4"/>
        <v>34.85398238766745</v>
      </c>
      <c r="J49" s="182">
        <f t="shared" si="4"/>
        <v>34.85398238766745</v>
      </c>
    </row>
    <row r="50" spans="1:13">
      <c r="A50" s="163"/>
      <c r="B50" s="164"/>
      <c r="C50" s="165" t="s">
        <v>36</v>
      </c>
      <c r="D50" s="171" t="s">
        <v>23</v>
      </c>
      <c r="E50" s="181">
        <v>63.26</v>
      </c>
      <c r="F50" s="493">
        <f>E50</f>
        <v>63.26</v>
      </c>
      <c r="G50" s="181">
        <v>40.19</v>
      </c>
      <c r="H50" s="182">
        <f>+G50</f>
        <v>40.19</v>
      </c>
      <c r="I50" s="181">
        <f t="shared" si="4"/>
        <v>57.402338890271224</v>
      </c>
      <c r="J50" s="182">
        <f t="shared" si="4"/>
        <v>57.402338890271224</v>
      </c>
    </row>
    <row r="51" spans="1:13">
      <c r="A51" s="163"/>
      <c r="B51" s="164"/>
      <c r="C51" s="166" t="s">
        <v>12</v>
      </c>
      <c r="D51" s="171" t="s">
        <v>23</v>
      </c>
      <c r="E51" s="264">
        <f>SUM(E47:E50)</f>
        <v>2160.7300000000005</v>
      </c>
      <c r="F51" s="494">
        <f>SUM(F47:F50)</f>
        <v>2160.7300000000005</v>
      </c>
      <c r="G51" s="264">
        <f>SUM(G47:G50)</f>
        <v>1665</v>
      </c>
      <c r="H51" s="264">
        <f>SUM(H47:H50)</f>
        <v>1665</v>
      </c>
      <c r="I51" s="181">
        <f t="shared" si="4"/>
        <v>29.773573573573604</v>
      </c>
      <c r="J51" s="182">
        <f t="shared" si="4"/>
        <v>29.773573573573604</v>
      </c>
    </row>
    <row r="52" spans="1:13">
      <c r="A52" s="163"/>
      <c r="B52" s="164"/>
      <c r="C52" s="165" t="s">
        <v>0</v>
      </c>
      <c r="D52" s="171" t="s">
        <v>23</v>
      </c>
      <c r="E52" s="181">
        <v>107.11</v>
      </c>
      <c r="F52" s="493">
        <f>E52</f>
        <v>107.11</v>
      </c>
      <c r="G52" s="181">
        <v>18.84</v>
      </c>
      <c r="H52" s="182">
        <f>+G52</f>
        <v>18.84</v>
      </c>
      <c r="I52" s="181">
        <f t="shared" si="4"/>
        <v>468.5244161358811</v>
      </c>
      <c r="J52" s="182">
        <f t="shared" si="4"/>
        <v>468.5244161358811</v>
      </c>
    </row>
    <row r="53" spans="1:13">
      <c r="A53" s="163"/>
      <c r="B53" s="164"/>
      <c r="C53" s="166" t="s">
        <v>13</v>
      </c>
      <c r="D53" s="171" t="s">
        <v>23</v>
      </c>
      <c r="E53" s="264">
        <f>SUM(E51:E52)</f>
        <v>2267.8400000000006</v>
      </c>
      <c r="F53" s="494">
        <f>SUM(F51:F52)</f>
        <v>2267.8400000000006</v>
      </c>
      <c r="G53" s="264">
        <f>G51+G52</f>
        <v>1683.84</v>
      </c>
      <c r="H53" s="264">
        <f>H51+H52</f>
        <v>1683.84</v>
      </c>
      <c r="I53" s="181">
        <f t="shared" si="4"/>
        <v>34.682630178639343</v>
      </c>
      <c r="J53" s="182">
        <f t="shared" si="4"/>
        <v>34.682630178639343</v>
      </c>
    </row>
    <row r="54" spans="1:13" ht="18" customHeight="1" thickBot="1">
      <c r="A54" s="265"/>
      <c r="B54" s="164"/>
      <c r="C54" s="169" t="s">
        <v>14</v>
      </c>
      <c r="D54" s="173"/>
      <c r="E54" s="220">
        <f>E53+E46</f>
        <v>5475.58</v>
      </c>
      <c r="F54" s="495">
        <f>F53+F46</f>
        <v>5475.58</v>
      </c>
      <c r="G54" s="266">
        <f>G46+G53-0.01</f>
        <v>3678.0701966070001</v>
      </c>
      <c r="H54" s="266">
        <f>H46+H53-0.01</f>
        <v>3678.0701966070001</v>
      </c>
      <c r="I54" s="220">
        <f t="shared" si="4"/>
        <v>48.871003197578801</v>
      </c>
      <c r="J54" s="224">
        <f t="shared" si="4"/>
        <v>48.871003197578801</v>
      </c>
      <c r="K54" s="148">
        <v>3678.07</v>
      </c>
      <c r="L54" s="312">
        <f>+K54-G54</f>
        <v>-1.9660699990708963E-4</v>
      </c>
    </row>
    <row r="55" spans="1:13" ht="2.25" hidden="1" customHeight="1" thickBot="1">
      <c r="A55" s="174"/>
      <c r="B55" s="267"/>
      <c r="C55" s="252"/>
      <c r="D55" s="268"/>
      <c r="E55" s="175"/>
      <c r="F55" s="226"/>
      <c r="G55" s="175"/>
      <c r="H55" s="175"/>
      <c r="I55" s="226"/>
      <c r="J55" s="226"/>
    </row>
    <row r="56" spans="1:13" s="162" customFormat="1" ht="18">
      <c r="A56" s="159" t="s">
        <v>24</v>
      </c>
      <c r="B56" s="160"/>
      <c r="C56" s="161" t="s">
        <v>25</v>
      </c>
      <c r="D56" s="161"/>
      <c r="E56" s="176"/>
      <c r="F56" s="177"/>
      <c r="G56" s="176"/>
      <c r="H56" s="177"/>
      <c r="I56" s="269"/>
      <c r="J56" s="270"/>
      <c r="L56" s="314"/>
      <c r="M56" s="314"/>
    </row>
    <row r="57" spans="1:13">
      <c r="A57" s="163"/>
      <c r="B57" s="164"/>
      <c r="C57" s="165" t="s">
        <v>8</v>
      </c>
      <c r="D57" s="171" t="s">
        <v>26</v>
      </c>
      <c r="E57" s="144">
        <f>+E43/E23*1000</f>
        <v>780.09241245136184</v>
      </c>
      <c r="F57" s="145">
        <f>+F43/F23*1000</f>
        <v>780.09241245136184</v>
      </c>
      <c r="G57" s="145">
        <v>740.57761219394035</v>
      </c>
      <c r="H57" s="145">
        <f>+H43/H23*1000</f>
        <v>765.54326165335897</v>
      </c>
      <c r="I57" s="181">
        <f>+(E57-G57)/G57*100</f>
        <v>5.3356730755551736</v>
      </c>
      <c r="J57" s="182">
        <f>+(F57-H57)/H57*100</f>
        <v>1.9005001450317491</v>
      </c>
    </row>
    <row r="58" spans="1:13">
      <c r="A58" s="163"/>
      <c r="B58" s="164"/>
      <c r="C58" s="165" t="s">
        <v>9</v>
      </c>
      <c r="D58" s="171" t="s">
        <v>26</v>
      </c>
      <c r="E58" s="144"/>
      <c r="F58" s="145"/>
      <c r="G58" s="144"/>
      <c r="H58" s="145"/>
      <c r="I58" s="181"/>
      <c r="J58" s="182"/>
    </row>
    <row r="59" spans="1:13">
      <c r="A59" s="163"/>
      <c r="B59" s="164"/>
      <c r="C59" s="165" t="s">
        <v>10</v>
      </c>
      <c r="D59" s="171" t="s">
        <v>26</v>
      </c>
      <c r="E59" s="144"/>
      <c r="F59" s="145"/>
      <c r="G59" s="144"/>
      <c r="H59" s="145"/>
      <c r="I59" s="181"/>
      <c r="J59" s="182"/>
    </row>
    <row r="60" spans="1:13">
      <c r="A60" s="163"/>
      <c r="B60" s="164"/>
      <c r="C60" s="166" t="s">
        <v>11</v>
      </c>
      <c r="D60" s="171" t="s">
        <v>26</v>
      </c>
      <c r="E60" s="237">
        <f t="shared" ref="E60:F64" si="5">+E46/E26*1000</f>
        <v>780.09241245136184</v>
      </c>
      <c r="F60" s="241">
        <f t="shared" si="5"/>
        <v>780.09241245136184</v>
      </c>
      <c r="G60" s="237">
        <f>SUM(G57:G59)</f>
        <v>740.57761219394035</v>
      </c>
      <c r="H60" s="237">
        <f>SUM(H57:H59)</f>
        <v>765.54326165335897</v>
      </c>
      <c r="I60" s="264">
        <f t="shared" ref="I60:J68" si="6">+(E60-G60)/G60*100</f>
        <v>5.3356730755551736</v>
      </c>
      <c r="J60" s="477">
        <f t="shared" si="6"/>
        <v>1.9005001450317491</v>
      </c>
    </row>
    <row r="61" spans="1:13">
      <c r="A61" s="163"/>
      <c r="B61" s="164"/>
      <c r="C61" s="165" t="s">
        <v>37</v>
      </c>
      <c r="D61" s="171" t="s">
        <v>26</v>
      </c>
      <c r="E61" s="144">
        <f>+E47/E27*1000</f>
        <v>629.11210762331837</v>
      </c>
      <c r="F61" s="145">
        <f t="shared" si="5"/>
        <v>629.11210762331837</v>
      </c>
      <c r="G61" s="145">
        <v>567.43022136669879</v>
      </c>
      <c r="H61" s="145">
        <f>+G61</f>
        <v>567.43022136669879</v>
      </c>
      <c r="I61" s="181">
        <f t="shared" si="6"/>
        <v>10.870391447965897</v>
      </c>
      <c r="J61" s="182">
        <f t="shared" si="6"/>
        <v>10.870391447965897</v>
      </c>
    </row>
    <row r="62" spans="1:13">
      <c r="A62" s="163"/>
      <c r="B62" s="164"/>
      <c r="C62" s="165" t="s">
        <v>123</v>
      </c>
      <c r="D62" s="171" t="s">
        <v>26</v>
      </c>
      <c r="E62" s="145">
        <f t="shared" si="5"/>
        <v>672.58064516129036</v>
      </c>
      <c r="F62" s="145">
        <f>(+F48/F28*1000)</f>
        <v>672.58064516129036</v>
      </c>
      <c r="G62" s="145">
        <v>596.53846153846155</v>
      </c>
      <c r="H62" s="145">
        <f>+G62</f>
        <v>596.53846153846155</v>
      </c>
      <c r="I62" s="181">
        <f t="shared" si="6"/>
        <v>12.747239034129912</v>
      </c>
      <c r="J62" s="182">
        <f t="shared" si="6"/>
        <v>12.747239034129912</v>
      </c>
    </row>
    <row r="63" spans="1:13">
      <c r="A63" s="163"/>
      <c r="B63" s="164"/>
      <c r="C63" s="165" t="s">
        <v>124</v>
      </c>
      <c r="D63" s="171" t="s">
        <v>26</v>
      </c>
      <c r="E63" s="144">
        <f t="shared" si="5"/>
        <v>753.92543859649129</v>
      </c>
      <c r="F63" s="145">
        <f t="shared" si="5"/>
        <v>753.92543859649129</v>
      </c>
      <c r="G63" s="145">
        <v>713.10489510489515</v>
      </c>
      <c r="H63" s="145">
        <f>+G63</f>
        <v>713.10489510489515</v>
      </c>
      <c r="I63" s="181">
        <f t="shared" si="6"/>
        <v>5.7243392622612115</v>
      </c>
      <c r="J63" s="182">
        <f t="shared" si="6"/>
        <v>5.7243392622612115</v>
      </c>
    </row>
    <row r="64" spans="1:13">
      <c r="A64" s="163"/>
      <c r="B64" s="164"/>
      <c r="C64" s="165" t="s">
        <v>36</v>
      </c>
      <c r="D64" s="171" t="s">
        <v>26</v>
      </c>
      <c r="E64" s="145">
        <f t="shared" si="5"/>
        <v>762.16867469879514</v>
      </c>
      <c r="F64" s="145">
        <f t="shared" si="5"/>
        <v>762.16867469879514</v>
      </c>
      <c r="G64" s="145">
        <v>608.93939393939388</v>
      </c>
      <c r="H64" s="145">
        <f>+G64</f>
        <v>608.93939393939388</v>
      </c>
      <c r="I64" s="181">
        <f t="shared" si="6"/>
        <v>25.16330562358916</v>
      </c>
      <c r="J64" s="182">
        <f t="shared" si="6"/>
        <v>25.16330562358916</v>
      </c>
    </row>
    <row r="65" spans="1:13">
      <c r="A65" s="163"/>
      <c r="B65" s="164"/>
      <c r="C65" s="166" t="s">
        <v>12</v>
      </c>
      <c r="D65" s="171" t="s">
        <v>26</v>
      </c>
      <c r="E65" s="237">
        <f t="shared" ref="E65:H68" si="7">+E51/E31*1000</f>
        <v>707.73992793973161</v>
      </c>
      <c r="F65" s="241">
        <f t="shared" si="7"/>
        <v>707.73992793973161</v>
      </c>
      <c r="G65" s="241">
        <f t="shared" ref="G65:H67" si="8">+G51/G31*1000</f>
        <v>648.1121058777735</v>
      </c>
      <c r="H65" s="241">
        <f t="shared" si="8"/>
        <v>648.1121058777735</v>
      </c>
      <c r="I65" s="264">
        <f t="shared" si="6"/>
        <v>9.200232725355578</v>
      </c>
      <c r="J65" s="477">
        <f t="shared" si="6"/>
        <v>9.200232725355578</v>
      </c>
    </row>
    <row r="66" spans="1:13">
      <c r="A66" s="163"/>
      <c r="B66" s="164"/>
      <c r="C66" s="165" t="s">
        <v>0</v>
      </c>
      <c r="D66" s="171" t="s">
        <v>26</v>
      </c>
      <c r="E66" s="144">
        <f t="shared" si="7"/>
        <v>332.63975155279502</v>
      </c>
      <c r="F66" s="145">
        <f t="shared" si="7"/>
        <v>332.63975155279502</v>
      </c>
      <c r="G66" s="145">
        <v>69.244339900029402</v>
      </c>
      <c r="H66" s="145">
        <f t="shared" si="8"/>
        <v>67.285714285714278</v>
      </c>
      <c r="I66" s="181">
        <f>+(E66-G66)/G66*100</f>
        <v>380.38547559705137</v>
      </c>
      <c r="J66" s="182">
        <f t="shared" si="6"/>
        <v>394.36905750946187</v>
      </c>
    </row>
    <row r="67" spans="1:13">
      <c r="A67" s="163"/>
      <c r="B67" s="164"/>
      <c r="C67" s="166" t="s">
        <v>13</v>
      </c>
      <c r="D67" s="171" t="s">
        <v>26</v>
      </c>
      <c r="E67" s="237">
        <f t="shared" si="7"/>
        <v>671.95259259259274</v>
      </c>
      <c r="F67" s="241">
        <f t="shared" si="7"/>
        <v>671.95259259259274</v>
      </c>
      <c r="G67" s="241">
        <f t="shared" si="8"/>
        <v>591.02843102843099</v>
      </c>
      <c r="H67" s="241">
        <f t="shared" si="8"/>
        <v>591.02843102843099</v>
      </c>
      <c r="I67" s="264">
        <f t="shared" si="6"/>
        <v>13.692092853020291</v>
      </c>
      <c r="J67" s="477">
        <f t="shared" si="6"/>
        <v>13.692092853020291</v>
      </c>
    </row>
    <row r="68" spans="1:13" ht="16.5" customHeight="1" thickBot="1">
      <c r="A68" s="265"/>
      <c r="B68" s="271"/>
      <c r="C68" s="169" t="s">
        <v>14</v>
      </c>
      <c r="D68" s="173" t="s">
        <v>26</v>
      </c>
      <c r="E68" s="248">
        <f t="shared" si="7"/>
        <v>731.34499799652735</v>
      </c>
      <c r="F68" s="249">
        <f t="shared" si="7"/>
        <v>731.34499799652735</v>
      </c>
      <c r="G68" s="248">
        <f t="shared" si="7"/>
        <v>673.1527801131831</v>
      </c>
      <c r="H68" s="248">
        <f t="shared" si="7"/>
        <v>674.3803074086909</v>
      </c>
      <c r="I68" s="266">
        <f t="shared" si="6"/>
        <v>8.6447266656998565</v>
      </c>
      <c r="J68" s="478">
        <f t="shared" si="6"/>
        <v>8.4469682702811291</v>
      </c>
    </row>
    <row r="69" spans="1:13" ht="0.75" customHeight="1" thickBot="1">
      <c r="A69" s="174"/>
      <c r="B69" s="174"/>
      <c r="C69" s="158"/>
      <c r="D69" s="158"/>
      <c r="E69" s="272">
        <f>SUM(E57:E68)</f>
        <v>6821.6489610642648</v>
      </c>
      <c r="F69" s="272">
        <f>SUM(F57:F68)</f>
        <v>6821.6489610642648</v>
      </c>
      <c r="G69" s="226" t="e">
        <v>#DIV/0!</v>
      </c>
      <c r="H69" s="175"/>
      <c r="I69" s="226" t="e">
        <f>+(E69-G69)/G69*100</f>
        <v>#DIV/0!</v>
      </c>
      <c r="J69" s="175"/>
    </row>
    <row r="70" spans="1:13" ht="41.25" hidden="1" customHeight="1" thickBot="1">
      <c r="E70" s="178"/>
      <c r="F70" s="178"/>
      <c r="G70" s="273"/>
      <c r="I70" s="273"/>
    </row>
    <row r="71" spans="1:13" ht="24" thickBot="1">
      <c r="A71" s="592" t="s">
        <v>1</v>
      </c>
      <c r="B71" s="593"/>
      <c r="C71" s="593"/>
      <c r="D71" s="593"/>
      <c r="E71" s="593"/>
      <c r="F71" s="593"/>
      <c r="G71" s="593"/>
      <c r="H71" s="593"/>
      <c r="I71" s="593"/>
      <c r="J71" s="594"/>
    </row>
    <row r="72" spans="1:13" ht="2.25" hidden="1" customHeight="1" thickBot="1">
      <c r="A72" s="174"/>
      <c r="B72" s="174"/>
      <c r="C72" s="252"/>
      <c r="D72" s="252"/>
      <c r="E72" s="175"/>
      <c r="F72" s="175"/>
      <c r="G72" s="175"/>
      <c r="H72" s="175"/>
      <c r="I72" s="175"/>
      <c r="J72" s="175"/>
    </row>
    <row r="73" spans="1:13" ht="46.5" customHeight="1" thickBot="1">
      <c r="A73" s="601" t="s">
        <v>27</v>
      </c>
      <c r="B73" s="602"/>
      <c r="C73" s="602"/>
      <c r="D73" s="602"/>
      <c r="E73" s="602"/>
      <c r="F73" s="602"/>
      <c r="G73" s="602"/>
      <c r="H73" s="603"/>
      <c r="I73" s="604" t="s">
        <v>20</v>
      </c>
      <c r="J73" s="605"/>
    </row>
    <row r="74" spans="1:13" ht="3" hidden="1" customHeight="1" thickBot="1">
      <c r="A74" s="253"/>
      <c r="B74" s="253"/>
      <c r="C74" s="253"/>
      <c r="D74" s="253"/>
      <c r="E74" s="254"/>
      <c r="F74" s="254"/>
      <c r="G74" s="254"/>
      <c r="H74" s="254"/>
      <c r="I74" s="255"/>
      <c r="J74" s="255"/>
    </row>
    <row r="75" spans="1:13" ht="23.25" customHeight="1" thickBot="1">
      <c r="A75" s="251"/>
      <c r="B75" s="274"/>
      <c r="C75" s="275"/>
      <c r="D75" s="154"/>
      <c r="E75" s="583" t="str">
        <f>E39</f>
        <v>Current Year 22-23</v>
      </c>
      <c r="F75" s="584"/>
      <c r="G75" s="583" t="str">
        <f>G39</f>
        <v>Previous  Year 21-22*</v>
      </c>
      <c r="H75" s="584"/>
      <c r="I75" s="586" t="s">
        <v>4</v>
      </c>
      <c r="J75" s="587"/>
    </row>
    <row r="76" spans="1:13" ht="3" hidden="1" customHeight="1" thickBot="1">
      <c r="A76" s="174"/>
      <c r="B76" s="174"/>
      <c r="C76" s="158"/>
      <c r="D76" s="158"/>
      <c r="E76" s="276"/>
      <c r="F76" s="276"/>
      <c r="G76" s="276"/>
      <c r="H76" s="276"/>
      <c r="I76" s="175"/>
      <c r="J76" s="175"/>
    </row>
    <row r="77" spans="1:13" ht="52.5" customHeight="1" thickBot="1">
      <c r="A77" s="251"/>
      <c r="B77" s="274"/>
      <c r="C77" s="277"/>
      <c r="D77" s="258"/>
      <c r="E77" s="259" t="str">
        <f>E41</f>
        <v>1st  Quarter Apr'22 to Jun'22</v>
      </c>
      <c r="F77" s="260" t="s">
        <v>410</v>
      </c>
      <c r="G77" s="259" t="str">
        <f>G41</f>
        <v>1st  Quarter  Apr'21 to Jun'21</v>
      </c>
      <c r="H77" s="260" t="str">
        <f>H7</f>
        <v>Cumulative Up to 1st quarter</v>
      </c>
      <c r="I77" s="261" t="str">
        <f>I7</f>
        <v>1st Quarter</v>
      </c>
      <c r="J77" s="260" t="str">
        <f>J7</f>
        <v>Cumulative up to 1st Qtr</v>
      </c>
    </row>
    <row r="78" spans="1:13" s="162" customFormat="1" ht="19" thickBot="1">
      <c r="A78" s="159" t="s">
        <v>29</v>
      </c>
      <c r="B78" s="262"/>
      <c r="C78" s="161" t="s">
        <v>30</v>
      </c>
      <c r="D78" s="278"/>
      <c r="E78" s="279"/>
      <c r="F78" s="280"/>
      <c r="G78" s="279"/>
      <c r="H78" s="280"/>
      <c r="I78" s="281"/>
      <c r="J78" s="282"/>
      <c r="L78" s="314"/>
      <c r="M78" s="314"/>
    </row>
    <row r="79" spans="1:13">
      <c r="A79" s="163"/>
      <c r="B79" s="164"/>
      <c r="C79" s="165" t="s">
        <v>8</v>
      </c>
      <c r="D79" s="283" t="s">
        <v>26</v>
      </c>
      <c r="E79" s="183">
        <f>+K79/E23/10000</f>
        <v>85.924409944795713</v>
      </c>
      <c r="F79" s="285">
        <f>+E79</f>
        <v>85.924409944795713</v>
      </c>
      <c r="G79" s="284">
        <v>115.78180897655815</v>
      </c>
      <c r="H79" s="285">
        <f>+G79</f>
        <v>115.78180897655815</v>
      </c>
      <c r="I79" s="286">
        <f>+(E79-G79)/G79*100</f>
        <v>-25.787642545650275</v>
      </c>
      <c r="J79" s="287">
        <f>+(F79-H79)/H79*100</f>
        <v>-25.787642545650275</v>
      </c>
      <c r="K79" s="308">
        <f>+HT!C97+HT!C98+HT!C99+HT!C106</f>
        <v>3533211736.9299998</v>
      </c>
    </row>
    <row r="80" spans="1:13">
      <c r="A80" s="163"/>
      <c r="B80" s="164"/>
      <c r="C80" s="165" t="s">
        <v>9</v>
      </c>
      <c r="D80" s="288" t="s">
        <v>26</v>
      </c>
      <c r="E80" s="144"/>
      <c r="F80" s="145"/>
      <c r="G80" s="144"/>
      <c r="H80" s="145"/>
      <c r="I80" s="181"/>
      <c r="J80" s="182"/>
    </row>
    <row r="81" spans="1:13">
      <c r="A81" s="163"/>
      <c r="B81" s="164"/>
      <c r="C81" s="165" t="s">
        <v>10</v>
      </c>
      <c r="D81" s="288" t="s">
        <v>26</v>
      </c>
      <c r="E81" s="144"/>
      <c r="F81" s="145"/>
      <c r="G81" s="144"/>
      <c r="H81" s="183"/>
      <c r="I81" s="306"/>
      <c r="J81" s="182"/>
    </row>
    <row r="82" spans="1:13">
      <c r="A82" s="163"/>
      <c r="B82" s="164"/>
      <c r="C82" s="166" t="s">
        <v>11</v>
      </c>
      <c r="D82" s="288" t="s">
        <v>26</v>
      </c>
      <c r="E82" s="479">
        <f>+E79</f>
        <v>85.924409944795713</v>
      </c>
      <c r="F82" s="480">
        <f>+F79</f>
        <v>85.924409944795713</v>
      </c>
      <c r="G82" s="479">
        <f>+G79</f>
        <v>115.78180897655815</v>
      </c>
      <c r="H82" s="240">
        <f t="shared" ref="H82:H90" si="9">+G82</f>
        <v>115.78180897655815</v>
      </c>
      <c r="I82" s="481">
        <f t="shared" ref="I82:J90" si="10">+(E82-G82)/G82*100</f>
        <v>-25.787642545650275</v>
      </c>
      <c r="J82" s="477">
        <f t="shared" si="10"/>
        <v>-25.787642545650275</v>
      </c>
    </row>
    <row r="83" spans="1:13">
      <c r="A83" s="163"/>
      <c r="B83" s="164"/>
      <c r="C83" s="165" t="s">
        <v>37</v>
      </c>
      <c r="D83" s="288" t="s">
        <v>26</v>
      </c>
      <c r="E83" s="183">
        <f>+K83/E27/10000</f>
        <v>12.168245658295964</v>
      </c>
      <c r="F83" s="183">
        <f>+E83</f>
        <v>12.168245658295964</v>
      </c>
      <c r="G83" s="183">
        <v>12.67223706159769</v>
      </c>
      <c r="H83" s="183">
        <f t="shared" si="9"/>
        <v>12.67223706159769</v>
      </c>
      <c r="I83" s="306">
        <f t="shared" si="10"/>
        <v>-3.9771304849483555</v>
      </c>
      <c r="J83" s="182">
        <f t="shared" si="10"/>
        <v>-3.9771304849483555</v>
      </c>
      <c r="K83" s="308">
        <f>+LT!F30</f>
        <v>135675939.09</v>
      </c>
    </row>
    <row r="84" spans="1:13">
      <c r="A84" s="163"/>
      <c r="B84" s="164"/>
      <c r="C84" s="165" t="s">
        <v>123</v>
      </c>
      <c r="D84" s="288" t="s">
        <v>26</v>
      </c>
      <c r="E84" s="183">
        <f t="shared" ref="E84:E90" si="11">+K84/E28/10000</f>
        <v>19.029930741935484</v>
      </c>
      <c r="F84" s="183">
        <f t="shared" ref="F84:F90" si="12">+E84</f>
        <v>19.029930741935484</v>
      </c>
      <c r="G84" s="183">
        <v>22.372726615384614</v>
      </c>
      <c r="H84" s="183">
        <f t="shared" si="9"/>
        <v>22.372726615384614</v>
      </c>
      <c r="I84" s="306">
        <f t="shared" si="10"/>
        <v>-14.941387926988101</v>
      </c>
      <c r="J84" s="182">
        <f t="shared" si="10"/>
        <v>-14.941387926988101</v>
      </c>
      <c r="K84" s="308">
        <f>+LT!F31</f>
        <v>5899278.5300000003</v>
      </c>
    </row>
    <row r="85" spans="1:13">
      <c r="A85" s="163"/>
      <c r="B85" s="164"/>
      <c r="C85" s="165" t="s">
        <v>124</v>
      </c>
      <c r="D85" s="288" t="s">
        <v>26</v>
      </c>
      <c r="E85" s="183">
        <f t="shared" si="11"/>
        <v>50.770984925986838</v>
      </c>
      <c r="F85" s="183">
        <f t="shared" si="12"/>
        <v>50.770984925986838</v>
      </c>
      <c r="G85" s="183">
        <v>58.778201829370623</v>
      </c>
      <c r="H85" s="183">
        <f t="shared" si="9"/>
        <v>58.778201829370623</v>
      </c>
      <c r="I85" s="306">
        <f t="shared" si="10"/>
        <v>-13.622766015585549</v>
      </c>
      <c r="J85" s="182">
        <f t="shared" si="10"/>
        <v>-13.622766015585549</v>
      </c>
      <c r="K85" s="308">
        <f>+LT!F32+LT!F36</f>
        <v>926062765.04999995</v>
      </c>
    </row>
    <row r="86" spans="1:13">
      <c r="A86" s="163"/>
      <c r="B86" s="164"/>
      <c r="C86" s="165" t="s">
        <v>36</v>
      </c>
      <c r="D86" s="288" t="s">
        <v>26</v>
      </c>
      <c r="E86" s="183">
        <f t="shared" si="11"/>
        <v>4.5975841686746985</v>
      </c>
      <c r="F86" s="183">
        <f t="shared" si="12"/>
        <v>4.5975841686746985</v>
      </c>
      <c r="G86" s="183">
        <v>5.5734941666666664</v>
      </c>
      <c r="H86" s="183">
        <f t="shared" si="9"/>
        <v>5.5734941666666664</v>
      </c>
      <c r="I86" s="306">
        <f t="shared" si="10"/>
        <v>-17.509841560947201</v>
      </c>
      <c r="J86" s="182">
        <f t="shared" si="10"/>
        <v>-17.509841560947201</v>
      </c>
      <c r="K86" s="308">
        <f>+LT!F33</f>
        <v>3815994.86</v>
      </c>
    </row>
    <row r="87" spans="1:13">
      <c r="A87" s="163"/>
      <c r="B87" s="164"/>
      <c r="C87" s="166" t="s">
        <v>12</v>
      </c>
      <c r="D87" s="288" t="s">
        <v>26</v>
      </c>
      <c r="E87" s="183">
        <f t="shared" si="11"/>
        <v>35.095118818539142</v>
      </c>
      <c r="F87" s="183">
        <f t="shared" si="12"/>
        <v>35.095118818539142</v>
      </c>
      <c r="G87" s="183">
        <v>38.332223518156972</v>
      </c>
      <c r="H87" s="183">
        <f t="shared" si="9"/>
        <v>38.332223518156972</v>
      </c>
      <c r="I87" s="306">
        <f t="shared" si="10"/>
        <v>-8.4448654487379233</v>
      </c>
      <c r="J87" s="182">
        <f t="shared" si="10"/>
        <v>-8.4448654487379233</v>
      </c>
      <c r="K87" s="179">
        <f>SUM(K83:K86)</f>
        <v>1071453977.53</v>
      </c>
    </row>
    <row r="88" spans="1:13">
      <c r="A88" s="163"/>
      <c r="B88" s="164"/>
      <c r="C88" s="165" t="s">
        <v>0</v>
      </c>
      <c r="D88" s="288" t="s">
        <v>26</v>
      </c>
      <c r="E88" s="183">
        <f t="shared" si="11"/>
        <v>17.976164372670809</v>
      </c>
      <c r="F88" s="183">
        <f t="shared" si="12"/>
        <v>17.976164372670809</v>
      </c>
      <c r="G88" s="183">
        <v>19.92938329535431</v>
      </c>
      <c r="H88" s="183">
        <f t="shared" si="9"/>
        <v>19.92938329535431</v>
      </c>
      <c r="I88" s="306">
        <f t="shared" si="10"/>
        <v>-9.8006992676929006</v>
      </c>
      <c r="J88" s="182">
        <f t="shared" si="10"/>
        <v>-9.8006992676929006</v>
      </c>
      <c r="K88" s="273">
        <f>+LT!F34</f>
        <v>57883249.280000001</v>
      </c>
    </row>
    <row r="89" spans="1:13">
      <c r="A89" s="163"/>
      <c r="B89" s="164"/>
      <c r="C89" s="166" t="s">
        <v>13</v>
      </c>
      <c r="D89" s="288" t="s">
        <v>26</v>
      </c>
      <c r="E89" s="183">
        <f t="shared" si="11"/>
        <v>33.461843757333334</v>
      </c>
      <c r="F89" s="183">
        <f t="shared" si="12"/>
        <v>33.461843757333334</v>
      </c>
      <c r="G89" s="183">
        <v>36.564873225253081</v>
      </c>
      <c r="H89" s="183">
        <f t="shared" si="9"/>
        <v>36.564873225253081</v>
      </c>
      <c r="I89" s="306">
        <f t="shared" si="10"/>
        <v>-8.4863673635730752</v>
      </c>
      <c r="J89" s="182">
        <f t="shared" si="10"/>
        <v>-8.4863673635730752</v>
      </c>
      <c r="K89" s="179">
        <f>K87+K88</f>
        <v>1129337226.8099999</v>
      </c>
    </row>
    <row r="90" spans="1:13" ht="18" customHeight="1" thickBot="1">
      <c r="A90" s="265"/>
      <c r="B90" s="164"/>
      <c r="C90" s="169" t="s">
        <v>14</v>
      </c>
      <c r="D90" s="289" t="s">
        <v>26</v>
      </c>
      <c r="E90" s="183">
        <f t="shared" si="11"/>
        <v>62.275263306264186</v>
      </c>
      <c r="F90" s="183">
        <f t="shared" si="12"/>
        <v>62.275263306264186</v>
      </c>
      <c r="G90" s="183">
        <v>74.587451377922463</v>
      </c>
      <c r="H90" s="183">
        <f t="shared" si="9"/>
        <v>74.587451377922463</v>
      </c>
      <c r="I90" s="307">
        <f t="shared" si="10"/>
        <v>-16.507050239958495</v>
      </c>
      <c r="J90" s="224">
        <f t="shared" si="10"/>
        <v>-16.507050239958495</v>
      </c>
      <c r="K90" s="148">
        <f>K89+K79</f>
        <v>4662548963.7399998</v>
      </c>
    </row>
    <row r="91" spans="1:13" ht="2.25" hidden="1" customHeight="1" thickBot="1">
      <c r="A91" s="174"/>
      <c r="B91" s="267"/>
      <c r="C91" s="252"/>
      <c r="D91" s="252"/>
      <c r="E91" s="290"/>
      <c r="F91" s="291"/>
      <c r="G91" s="291"/>
      <c r="H91" s="291"/>
      <c r="I91" s="292" t="e">
        <f>+(E91-G91)/G91*100</f>
        <v>#DIV/0!</v>
      </c>
      <c r="J91" s="291"/>
    </row>
    <row r="92" spans="1:13" s="162" customFormat="1" ht="19" thickBot="1">
      <c r="A92" s="293" t="s">
        <v>31</v>
      </c>
      <c r="B92" s="294"/>
      <c r="C92" s="295" t="s">
        <v>32</v>
      </c>
      <c r="D92" s="295"/>
      <c r="E92" s="296"/>
      <c r="F92" s="296"/>
      <c r="G92" s="296"/>
      <c r="H92" s="296"/>
      <c r="I92" s="296"/>
      <c r="J92" s="297"/>
      <c r="K92" s="309"/>
      <c r="L92" s="314"/>
      <c r="M92" s="314"/>
    </row>
    <row r="93" spans="1:13">
      <c r="A93" s="298"/>
      <c r="B93" s="299"/>
      <c r="C93" s="300" t="s">
        <v>8</v>
      </c>
      <c r="D93" s="263" t="s">
        <v>26</v>
      </c>
      <c r="E93" s="183">
        <f>+K93/E23/10000</f>
        <v>694.16800250656604</v>
      </c>
      <c r="F93" s="285">
        <f>+E93</f>
        <v>694.16800250656604</v>
      </c>
      <c r="G93" s="284">
        <v>624.79580321738217</v>
      </c>
      <c r="H93" s="285">
        <f>+G93</f>
        <v>624.79580321738217</v>
      </c>
      <c r="I93" s="301">
        <f>+(E93-G93)/G93*100</f>
        <v>11.103179459905485</v>
      </c>
      <c r="J93" s="302">
        <f>+(F93-H93)/H93*100</f>
        <v>11.103179459905485</v>
      </c>
      <c r="K93" s="310">
        <f>+(E43*10000000)-K79</f>
        <v>28544188263.069996</v>
      </c>
    </row>
    <row r="94" spans="1:13">
      <c r="A94" s="163"/>
      <c r="B94" s="164"/>
      <c r="C94" s="165" t="s">
        <v>9</v>
      </c>
      <c r="D94" s="171" t="s">
        <v>26</v>
      </c>
      <c r="E94" s="144"/>
      <c r="F94" s="182"/>
      <c r="G94" s="144"/>
      <c r="H94" s="145"/>
      <c r="I94" s="181"/>
      <c r="J94" s="182"/>
      <c r="K94" s="178"/>
    </row>
    <row r="95" spans="1:13">
      <c r="A95" s="163"/>
      <c r="B95" s="164"/>
      <c r="C95" s="165" t="s">
        <v>10</v>
      </c>
      <c r="D95" s="171" t="s">
        <v>26</v>
      </c>
      <c r="E95" s="144"/>
      <c r="F95" s="305"/>
      <c r="G95" s="144"/>
      <c r="H95" s="145"/>
      <c r="I95" s="181"/>
      <c r="J95" s="182"/>
      <c r="K95" s="178"/>
    </row>
    <row r="96" spans="1:13">
      <c r="A96" s="163"/>
      <c r="B96" s="164"/>
      <c r="C96" s="166" t="s">
        <v>11</v>
      </c>
      <c r="D96" s="288" t="s">
        <v>26</v>
      </c>
      <c r="E96" s="183">
        <f>E93</f>
        <v>694.16800250656604</v>
      </c>
      <c r="F96" s="183">
        <f>+E96</f>
        <v>694.16800250656604</v>
      </c>
      <c r="G96" s="184">
        <v>624.79580321738217</v>
      </c>
      <c r="H96" s="144">
        <f>H93</f>
        <v>624.79580321738217</v>
      </c>
      <c r="I96" s="181">
        <f t="shared" ref="I96:J104" si="13">+(E96-G96)/G96*100</f>
        <v>11.103179459905485</v>
      </c>
      <c r="J96" s="182">
        <f t="shared" si="13"/>
        <v>11.103179459905485</v>
      </c>
      <c r="K96" s="178">
        <f>+SUM(K93:K95)</f>
        <v>28544188263.069996</v>
      </c>
    </row>
    <row r="97" spans="1:13">
      <c r="A97" s="163"/>
      <c r="B97" s="164"/>
      <c r="C97" s="165" t="s">
        <v>37</v>
      </c>
      <c r="D97" s="288" t="s">
        <v>26</v>
      </c>
      <c r="E97" s="183">
        <f>+K97/E27/10000</f>
        <v>612.40574537309419</v>
      </c>
      <c r="F97" s="183">
        <f t="shared" ref="F97:F104" si="14">+E97</f>
        <v>612.40574537309419</v>
      </c>
      <c r="G97" s="184">
        <v>550.49426919441771</v>
      </c>
      <c r="H97" s="145">
        <f>+G97</f>
        <v>550.49426919441771</v>
      </c>
      <c r="I97" s="181">
        <f t="shared" si="13"/>
        <v>11.246525103572194</v>
      </c>
      <c r="J97" s="182">
        <f t="shared" si="13"/>
        <v>11.246525103572194</v>
      </c>
      <c r="K97" s="311">
        <f>+LT!O9*10000000</f>
        <v>6828324060.9099998</v>
      </c>
    </row>
    <row r="98" spans="1:13">
      <c r="A98" s="163"/>
      <c r="B98" s="164"/>
      <c r="C98" s="165" t="s">
        <v>123</v>
      </c>
      <c r="D98" s="288" t="s">
        <v>26</v>
      </c>
      <c r="E98" s="183">
        <f t="shared" ref="E98:E104" si="15">+K98/E28/10000</f>
        <v>649.35716603225808</v>
      </c>
      <c r="F98" s="183">
        <f t="shared" si="14"/>
        <v>649.35716603225808</v>
      </c>
      <c r="G98" s="184">
        <v>565.70419646153846</v>
      </c>
      <c r="H98" s="145">
        <f t="shared" ref="H98:H104" si="16">+G98</f>
        <v>565.70419646153846</v>
      </c>
      <c r="I98" s="181">
        <f t="shared" si="13"/>
        <v>14.787404812261649</v>
      </c>
      <c r="J98" s="182">
        <f t="shared" si="13"/>
        <v>14.787404812261649</v>
      </c>
      <c r="K98" s="311">
        <f>+LT!O10*10000000</f>
        <v>201300721.47</v>
      </c>
    </row>
    <row r="99" spans="1:13">
      <c r="A99" s="163"/>
      <c r="B99" s="164"/>
      <c r="C99" s="165" t="s">
        <v>124</v>
      </c>
      <c r="D99" s="288" t="s">
        <v>26</v>
      </c>
      <c r="E99" s="183">
        <f t="shared" si="15"/>
        <v>700.9011641968201</v>
      </c>
      <c r="F99" s="183">
        <f t="shared" si="14"/>
        <v>700.9011641968201</v>
      </c>
      <c r="G99" s="184">
        <v>648.15886110769236</v>
      </c>
      <c r="H99" s="145">
        <f t="shared" si="16"/>
        <v>648.15886110769236</v>
      </c>
      <c r="I99" s="181">
        <f t="shared" si="13"/>
        <v>8.1372494081145561</v>
      </c>
      <c r="J99" s="182">
        <f t="shared" si="13"/>
        <v>8.1372494081145561</v>
      </c>
      <c r="K99" s="178">
        <f>+(LT!O11+LT!O15)*10000000</f>
        <v>12784437234.949999</v>
      </c>
    </row>
    <row r="100" spans="1:13">
      <c r="A100" s="163"/>
      <c r="B100" s="164"/>
      <c r="C100" s="165" t="s">
        <v>36</v>
      </c>
      <c r="D100" s="288" t="s">
        <v>26</v>
      </c>
      <c r="E100" s="183">
        <f t="shared" si="15"/>
        <v>494.55904233734935</v>
      </c>
      <c r="F100" s="183">
        <f t="shared" si="14"/>
        <v>494.55904233734935</v>
      </c>
      <c r="G100" s="184">
        <v>516.85074825757579</v>
      </c>
      <c r="H100" s="145">
        <f t="shared" si="16"/>
        <v>516.85074825757579</v>
      </c>
      <c r="I100" s="181">
        <f t="shared" si="13"/>
        <v>-4.3129870654878539</v>
      </c>
      <c r="J100" s="182">
        <f t="shared" si="13"/>
        <v>-4.3129870654878539</v>
      </c>
      <c r="K100" s="178">
        <f>+LT!O12*10000000</f>
        <v>410484005.13999999</v>
      </c>
    </row>
    <row r="101" spans="1:13">
      <c r="A101" s="163"/>
      <c r="B101" s="164"/>
      <c r="C101" s="166" t="s">
        <v>12</v>
      </c>
      <c r="D101" s="288" t="s">
        <v>26</v>
      </c>
      <c r="E101" s="183">
        <f t="shared" si="15"/>
        <v>662.44828111595143</v>
      </c>
      <c r="F101" s="183">
        <f t="shared" si="14"/>
        <v>662.44828111595143</v>
      </c>
      <c r="G101" s="184">
        <v>604.31517983990625</v>
      </c>
      <c r="H101" s="145">
        <f t="shared" si="16"/>
        <v>604.31517983990625</v>
      </c>
      <c r="I101" s="181">
        <f>SUM(I97:I100)</f>
        <v>29.858192258460548</v>
      </c>
      <c r="J101" s="181">
        <f>SUM(J97:J100)</f>
        <v>29.858192258460548</v>
      </c>
      <c r="K101" s="310">
        <f>SUM(K97:K100)</f>
        <v>20224546022.469997</v>
      </c>
    </row>
    <row r="102" spans="1:13">
      <c r="A102" s="163"/>
      <c r="B102" s="164"/>
      <c r="C102" s="165" t="s">
        <v>0</v>
      </c>
      <c r="D102" s="288" t="s">
        <v>26</v>
      </c>
      <c r="E102" s="183">
        <f t="shared" si="15"/>
        <v>45.781599602484484</v>
      </c>
      <c r="F102" s="183">
        <f t="shared" si="14"/>
        <v>45.781599602484484</v>
      </c>
      <c r="G102" s="184">
        <v>47.036215058071157</v>
      </c>
      <c r="H102" s="145">
        <f t="shared" si="16"/>
        <v>47.036215058071157</v>
      </c>
      <c r="I102" s="181">
        <f t="shared" si="13"/>
        <v>-2.6673393129904666</v>
      </c>
      <c r="J102" s="182">
        <f t="shared" si="13"/>
        <v>-2.6673393129904666</v>
      </c>
      <c r="K102" s="178">
        <f>+LT!O13*10000000</f>
        <v>147416750.72000003</v>
      </c>
    </row>
    <row r="103" spans="1:13">
      <c r="A103" s="163"/>
      <c r="B103" s="164"/>
      <c r="C103" s="166" t="s">
        <v>13</v>
      </c>
      <c r="D103" s="288" t="s">
        <v>26</v>
      </c>
      <c r="E103" s="183">
        <f t="shared" si="15"/>
        <v>603.6137117982222</v>
      </c>
      <c r="F103" s="183">
        <f t="shared" si="14"/>
        <v>603.6137117982222</v>
      </c>
      <c r="G103" s="184">
        <v>550.79587903024276</v>
      </c>
      <c r="H103" s="145">
        <f t="shared" si="16"/>
        <v>550.79587903024276</v>
      </c>
      <c r="I103" s="181">
        <f t="shared" si="13"/>
        <v>9.5893660026965009</v>
      </c>
      <c r="J103" s="182">
        <f t="shared" si="13"/>
        <v>9.5893660026965009</v>
      </c>
      <c r="K103" s="178">
        <f>+K101+K102</f>
        <v>20371962773.189999</v>
      </c>
    </row>
    <row r="104" spans="1:13" ht="16.5" customHeight="1" thickBot="1">
      <c r="A104" s="265"/>
      <c r="B104" s="271"/>
      <c r="C104" s="169" t="s">
        <v>14</v>
      </c>
      <c r="D104" s="289" t="s">
        <v>26</v>
      </c>
      <c r="E104" s="240">
        <f t="shared" si="15"/>
        <v>653.34781669907829</v>
      </c>
      <c r="F104" s="240">
        <f t="shared" si="14"/>
        <v>653.34781669907829</v>
      </c>
      <c r="G104" s="508">
        <v>586.31439377727099</v>
      </c>
      <c r="H104" s="241">
        <f t="shared" si="16"/>
        <v>586.31439377727099</v>
      </c>
      <c r="I104" s="266">
        <f t="shared" si="13"/>
        <v>11.433016762551448</v>
      </c>
      <c r="J104" s="478">
        <f t="shared" si="13"/>
        <v>11.433016762551448</v>
      </c>
      <c r="K104" s="178">
        <f>+K103+K96</f>
        <v>48916151036.259995</v>
      </c>
    </row>
    <row r="105" spans="1:13" ht="3" hidden="1" customHeight="1" thickBot="1">
      <c r="A105" s="156"/>
      <c r="B105" s="157"/>
      <c r="C105" s="252"/>
      <c r="D105" s="252"/>
      <c r="E105" s="291"/>
      <c r="F105" s="291"/>
      <c r="G105" s="291"/>
      <c r="H105" s="291"/>
      <c r="I105" s="291"/>
      <c r="J105" s="291"/>
      <c r="K105" s="178"/>
    </row>
    <row r="106" spans="1:13" s="162" customFormat="1" ht="18">
      <c r="A106" s="159" t="s">
        <v>33</v>
      </c>
      <c r="B106" s="160"/>
      <c r="C106" s="161" t="s">
        <v>34</v>
      </c>
      <c r="D106" s="161"/>
      <c r="E106" s="303"/>
      <c r="F106" s="304"/>
      <c r="G106" s="303"/>
      <c r="H106" s="304"/>
      <c r="I106" s="303"/>
      <c r="J106" s="304"/>
      <c r="K106" s="178"/>
      <c r="L106" s="314"/>
      <c r="M106" s="314"/>
    </row>
    <row r="107" spans="1:13">
      <c r="A107" s="163"/>
      <c r="B107" s="164"/>
      <c r="C107" s="165" t="s">
        <v>8</v>
      </c>
      <c r="D107" s="171" t="s">
        <v>35</v>
      </c>
      <c r="E107" s="144">
        <f>+E23*10^6/E9</f>
        <v>808811.95908733283</v>
      </c>
      <c r="F107" s="145">
        <f>+F23*10^6/F9</f>
        <v>808811.95908733283</v>
      </c>
      <c r="G107" s="144">
        <v>570824.19515389658</v>
      </c>
      <c r="H107" s="144">
        <f>+G107</f>
        <v>570824.19515389658</v>
      </c>
      <c r="I107" s="181">
        <f>+(E107-G107)/G107*100</f>
        <v>41.69195453764425</v>
      </c>
      <c r="J107" s="182">
        <f>+(F107-H107)/H107*100</f>
        <v>41.69195453764425</v>
      </c>
      <c r="K107" s="178"/>
    </row>
    <row r="108" spans="1:13">
      <c r="A108" s="163"/>
      <c r="B108" s="164"/>
      <c r="C108" s="165" t="s">
        <v>9</v>
      </c>
      <c r="D108" s="171" t="s">
        <v>35</v>
      </c>
      <c r="E108" s="144"/>
      <c r="F108" s="145"/>
      <c r="G108" s="144"/>
      <c r="H108" s="144"/>
      <c r="I108" s="181"/>
      <c r="J108" s="182"/>
      <c r="K108" s="178"/>
    </row>
    <row r="109" spans="1:13">
      <c r="A109" s="163"/>
      <c r="B109" s="164"/>
      <c r="C109" s="165" t="s">
        <v>10</v>
      </c>
      <c r="D109" s="171" t="s">
        <v>35</v>
      </c>
      <c r="E109" s="144"/>
      <c r="F109" s="145"/>
      <c r="G109" s="144"/>
      <c r="H109" s="144"/>
      <c r="I109" s="181"/>
      <c r="J109" s="182"/>
    </row>
    <row r="110" spans="1:13">
      <c r="A110" s="163"/>
      <c r="B110" s="164"/>
      <c r="C110" s="166" t="s">
        <v>11</v>
      </c>
      <c r="D110" s="171" t="s">
        <v>35</v>
      </c>
      <c r="E110" s="237">
        <f>E107</f>
        <v>808811.95908733283</v>
      </c>
      <c r="F110" s="241">
        <f>F107</f>
        <v>808811.95908733283</v>
      </c>
      <c r="G110" s="237">
        <f>G107</f>
        <v>570824.19515389658</v>
      </c>
      <c r="H110" s="237">
        <f>H107</f>
        <v>570824.19515389658</v>
      </c>
      <c r="I110" s="264">
        <f t="shared" ref="I110:J118" si="17">+(E110-G110)/G110*100</f>
        <v>41.69195453764425</v>
      </c>
      <c r="J110" s="477">
        <f t="shared" si="17"/>
        <v>41.69195453764425</v>
      </c>
    </row>
    <row r="111" spans="1:13">
      <c r="A111" s="163"/>
      <c r="B111" s="164"/>
      <c r="C111" s="165" t="s">
        <v>37</v>
      </c>
      <c r="D111" s="171" t="s">
        <v>35</v>
      </c>
      <c r="E111" s="144">
        <f>+E27*10^6/E13</f>
        <v>402.03722900797766</v>
      </c>
      <c r="F111" s="145">
        <f t="shared" ref="E111:G118" si="18">+F27*10^6/F13</f>
        <v>402.03722900797766</v>
      </c>
      <c r="G111" s="144">
        <v>380.67685737514699</v>
      </c>
      <c r="H111" s="144">
        <f t="shared" ref="H111:H118" si="19">+G111</f>
        <v>380.67685737514699</v>
      </c>
      <c r="I111" s="181">
        <f t="shared" si="17"/>
        <v>5.6111558186424189</v>
      </c>
      <c r="J111" s="182">
        <f t="shared" si="17"/>
        <v>5.6111558186424189</v>
      </c>
    </row>
    <row r="112" spans="1:13">
      <c r="A112" s="163"/>
      <c r="B112" s="164"/>
      <c r="C112" s="165" t="s">
        <v>123</v>
      </c>
      <c r="D112" s="171" t="s">
        <v>35</v>
      </c>
      <c r="E112" s="144">
        <f t="shared" si="18"/>
        <v>1072.961373390558</v>
      </c>
      <c r="F112" s="145">
        <f t="shared" si="18"/>
        <v>1072.961373390558</v>
      </c>
      <c r="G112" s="144">
        <v>918.69545245751033</v>
      </c>
      <c r="H112" s="144">
        <f t="shared" si="19"/>
        <v>918.69545245751033</v>
      </c>
      <c r="I112" s="181">
        <f t="shared" si="17"/>
        <v>16.791845493562242</v>
      </c>
      <c r="J112" s="182">
        <f t="shared" si="17"/>
        <v>16.791845493562242</v>
      </c>
    </row>
    <row r="113" spans="1:12">
      <c r="A113" s="163"/>
      <c r="B113" s="164"/>
      <c r="C113" s="165" t="s">
        <v>124</v>
      </c>
      <c r="D113" s="171" t="s">
        <v>35</v>
      </c>
      <c r="E113" s="144">
        <f t="shared" si="18"/>
        <v>3698.9718318427936</v>
      </c>
      <c r="F113" s="145">
        <f t="shared" si="18"/>
        <v>3698.9718318427936</v>
      </c>
      <c r="G113" s="144">
        <v>3025.7506189035357</v>
      </c>
      <c r="H113" s="144">
        <f t="shared" si="19"/>
        <v>3025.7506189035357</v>
      </c>
      <c r="I113" s="181">
        <f t="shared" si="17"/>
        <v>22.249725695609975</v>
      </c>
      <c r="J113" s="182">
        <f t="shared" si="17"/>
        <v>22.249725695609975</v>
      </c>
    </row>
    <row r="114" spans="1:12">
      <c r="A114" s="163"/>
      <c r="B114" s="164"/>
      <c r="C114" s="165" t="s">
        <v>36</v>
      </c>
      <c r="D114" s="171" t="s">
        <v>35</v>
      </c>
      <c r="E114" s="144">
        <f t="shared" si="18"/>
        <v>2213.4513840738173</v>
      </c>
      <c r="F114" s="145">
        <f t="shared" si="18"/>
        <v>2213.4513840738173</v>
      </c>
      <c r="G114" s="144">
        <v>1937.472479084104</v>
      </c>
      <c r="H114" s="144">
        <f t="shared" si="19"/>
        <v>1937.472479084104</v>
      </c>
      <c r="I114" s="181">
        <f t="shared" si="17"/>
        <v>14.244274846173614</v>
      </c>
      <c r="J114" s="182">
        <f t="shared" si="17"/>
        <v>14.244274846173614</v>
      </c>
    </row>
    <row r="115" spans="1:12">
      <c r="A115" s="163"/>
      <c r="B115" s="164"/>
      <c r="C115" s="166" t="s">
        <v>12</v>
      </c>
      <c r="D115" s="171" t="s">
        <v>35</v>
      </c>
      <c r="E115" s="237">
        <f t="shared" si="18"/>
        <v>916.02595356861571</v>
      </c>
      <c r="F115" s="241">
        <f t="shared" si="18"/>
        <v>916.02595356861571</v>
      </c>
      <c r="G115" s="237">
        <f t="shared" si="18"/>
        <v>786.99271671785129</v>
      </c>
      <c r="H115" s="237">
        <f t="shared" si="19"/>
        <v>786.99271671785129</v>
      </c>
      <c r="I115" s="264">
        <f t="shared" si="17"/>
        <v>16.39573456141968</v>
      </c>
      <c r="J115" s="477">
        <f t="shared" si="17"/>
        <v>16.39573456141968</v>
      </c>
    </row>
    <row r="116" spans="1:12">
      <c r="A116" s="163"/>
      <c r="B116" s="164"/>
      <c r="C116" s="165" t="s">
        <v>0</v>
      </c>
      <c r="D116" s="171" t="s">
        <v>35</v>
      </c>
      <c r="E116" s="144">
        <f t="shared" si="18"/>
        <v>1531.8744053282587</v>
      </c>
      <c r="F116" s="145">
        <f t="shared" si="18"/>
        <v>1531.8744053282587</v>
      </c>
      <c r="G116" s="144">
        <v>1337.3902015817853</v>
      </c>
      <c r="H116" s="144">
        <f t="shared" si="19"/>
        <v>1337.3902015817853</v>
      </c>
      <c r="I116" s="181">
        <f t="shared" si="17"/>
        <v>14.542068837983793</v>
      </c>
      <c r="J116" s="182">
        <f t="shared" si="17"/>
        <v>14.542068837983793</v>
      </c>
    </row>
    <row r="117" spans="1:12">
      <c r="A117" s="163"/>
      <c r="B117" s="164"/>
      <c r="C117" s="166" t="s">
        <v>13</v>
      </c>
      <c r="D117" s="171" t="s">
        <v>35</v>
      </c>
      <c r="E117" s="144">
        <f t="shared" si="18"/>
        <v>952.56239283673085</v>
      </c>
      <c r="F117" s="145">
        <f t="shared" si="18"/>
        <v>952.56239283673085</v>
      </c>
      <c r="G117" s="144">
        <v>816.97553987206754</v>
      </c>
      <c r="H117" s="144">
        <f t="shared" si="19"/>
        <v>816.97553987206754</v>
      </c>
      <c r="I117" s="181">
        <f t="shared" si="17"/>
        <v>16.596194910057555</v>
      </c>
      <c r="J117" s="182">
        <f t="shared" si="17"/>
        <v>16.596194910057555</v>
      </c>
    </row>
    <row r="118" spans="1:12" ht="19" thickBot="1">
      <c r="A118" s="265"/>
      <c r="B118" s="271"/>
      <c r="C118" s="169" t="s">
        <v>14</v>
      </c>
      <c r="D118" s="173" t="s">
        <v>35</v>
      </c>
      <c r="E118" s="218">
        <f t="shared" si="18"/>
        <v>2110.1083688752392</v>
      </c>
      <c r="F118" s="219">
        <f t="shared" si="18"/>
        <v>2110.1083688752392</v>
      </c>
      <c r="G118" s="218">
        <f t="shared" si="18"/>
        <v>1573.5597962991601</v>
      </c>
      <c r="H118" s="218">
        <f t="shared" si="19"/>
        <v>1573.5597962991601</v>
      </c>
      <c r="I118" s="220">
        <f t="shared" si="17"/>
        <v>34.097755537348021</v>
      </c>
      <c r="J118" s="224">
        <f t="shared" si="17"/>
        <v>34.097755537348021</v>
      </c>
    </row>
    <row r="119" spans="1:12" ht="15.75" customHeight="1" thickBot="1">
      <c r="C119" s="575" t="s">
        <v>414</v>
      </c>
      <c r="D119" s="576"/>
      <c r="E119" s="576"/>
      <c r="F119" s="576"/>
      <c r="G119" s="576"/>
      <c r="H119" s="576"/>
      <c r="I119" s="576"/>
      <c r="J119" s="576"/>
      <c r="K119" s="509"/>
      <c r="L119" s="510"/>
    </row>
    <row r="120" spans="1:12">
      <c r="C120" s="3"/>
    </row>
  </sheetData>
  <mergeCells count="19">
    <mergeCell ref="A71:J71"/>
    <mergeCell ref="A73:H73"/>
    <mergeCell ref="I73:J73"/>
    <mergeCell ref="E75:F75"/>
    <mergeCell ref="G75:H75"/>
    <mergeCell ref="I75:J75"/>
    <mergeCell ref="C119:J119"/>
    <mergeCell ref="A1:H1"/>
    <mergeCell ref="A3:H3"/>
    <mergeCell ref="I3:J3"/>
    <mergeCell ref="E5:F5"/>
    <mergeCell ref="G5:H5"/>
    <mergeCell ref="I5:J5"/>
    <mergeCell ref="A35:J35"/>
    <mergeCell ref="A37:H37"/>
    <mergeCell ref="I37:J37"/>
    <mergeCell ref="E39:F39"/>
    <mergeCell ref="G39:H39"/>
    <mergeCell ref="I39:J39"/>
  </mergeCells>
  <printOptions horizontalCentered="1"/>
  <pageMargins left="0.31496062992125984" right="0.23622047244094491" top="0.31496062992125984" bottom="0.31496062992125984" header="0" footer="0"/>
  <pageSetup scale="76" orientation="landscape" verticalDpi="300" r:id="rId1"/>
  <headerFooter alignWithMargins="0"/>
  <rowBreaks count="2" manualBreakCount="2">
    <brk id="34" max="9" man="1"/>
    <brk id="70" max="9" man="1"/>
  </rowBreaks>
  <ignoredErrors>
    <ignoredError sqref="F34 I101:J101" formula="1"/>
  </ignoredErrors>
  <drawing r:id="rId2"/>
  <legacyDrawing r:id="rId3"/>
  <oleObjects>
    <mc:AlternateContent xmlns:mc="http://schemas.openxmlformats.org/markup-compatibility/2006">
      <mc:Choice Requires="x14">
        <oleObject progId="PBrush" shapeId="7169" r:id="rId4">
          <objectPr defaultSize="0" autoPict="0" r:id="rId5">
            <anchor moveWithCells="1" sizeWithCells="1">
              <from>
                <xdr:col>2</xdr:col>
                <xdr:colOff>1168400</xdr:colOff>
                <xdr:row>6</xdr:row>
                <xdr:rowOff>254000</xdr:rowOff>
              </from>
              <to>
                <xdr:col>2</xdr:col>
                <xdr:colOff>2387600</xdr:colOff>
                <xdr:row>6</xdr:row>
                <xdr:rowOff>571500</xdr:rowOff>
              </to>
            </anchor>
          </objectPr>
        </oleObject>
      </mc:Choice>
      <mc:Fallback>
        <oleObject progId="PBrush" shapeId="7169" r:id="rId4"/>
      </mc:Fallback>
    </mc:AlternateContent>
    <mc:AlternateContent xmlns:mc="http://schemas.openxmlformats.org/markup-compatibility/2006">
      <mc:Choice Requires="x14">
        <oleObject progId="PBrush" shapeId="7170" r:id="rId6">
          <objectPr defaultSize="0" autoPict="0" r:id="rId5">
            <anchor moveWithCells="1" sizeWithCells="1">
              <from>
                <xdr:col>2</xdr:col>
                <xdr:colOff>1168400</xdr:colOff>
                <xdr:row>40</xdr:row>
                <xdr:rowOff>292100</xdr:rowOff>
              </from>
              <to>
                <xdr:col>2</xdr:col>
                <xdr:colOff>2387600</xdr:colOff>
                <xdr:row>40</xdr:row>
                <xdr:rowOff>647700</xdr:rowOff>
              </to>
            </anchor>
          </objectPr>
        </oleObject>
      </mc:Choice>
      <mc:Fallback>
        <oleObject progId="PBrush" shapeId="7170" r:id="rId6"/>
      </mc:Fallback>
    </mc:AlternateContent>
    <mc:AlternateContent xmlns:mc="http://schemas.openxmlformats.org/markup-compatibility/2006">
      <mc:Choice Requires="x14">
        <oleObject progId="PBrush" shapeId="7171" r:id="rId7">
          <objectPr defaultSize="0" autoPict="0" r:id="rId5">
            <anchor moveWithCells="1" sizeWithCells="1">
              <from>
                <xdr:col>2</xdr:col>
                <xdr:colOff>1168400</xdr:colOff>
                <xdr:row>76</xdr:row>
                <xdr:rowOff>292100</xdr:rowOff>
              </from>
              <to>
                <xdr:col>2</xdr:col>
                <xdr:colOff>2387600</xdr:colOff>
                <xdr:row>76</xdr:row>
                <xdr:rowOff>647700</xdr:rowOff>
              </to>
            </anchor>
          </objectPr>
        </oleObject>
      </mc:Choice>
      <mc:Fallback>
        <oleObject progId="PBrush" shapeId="7171" r:id="rId7"/>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42"/>
  <sheetViews>
    <sheetView view="pageBreakPreview" zoomScale="90" zoomScaleNormal="100" zoomScaleSheetLayoutView="90" workbookViewId="0">
      <selection activeCell="J27" sqref="J27"/>
    </sheetView>
  </sheetViews>
  <sheetFormatPr baseColWidth="10" defaultColWidth="0.1640625" defaultRowHeight="15"/>
  <cols>
    <col min="1" max="1" width="4.6640625" style="2" customWidth="1"/>
    <col min="2" max="2" width="4.6640625" style="39" customWidth="1"/>
    <col min="3" max="3" width="35.5" style="3" customWidth="1"/>
    <col min="4" max="4" width="10.6640625" style="76" hidden="1" customWidth="1"/>
    <col min="5" max="6" width="17" style="76" customWidth="1"/>
    <col min="7" max="7" width="13.83203125" style="39" customWidth="1"/>
    <col min="8" max="8" width="16.1640625" style="39" customWidth="1"/>
    <col min="9" max="9" width="14.5" style="39" customWidth="1"/>
    <col min="10" max="10" width="17.33203125" style="39" bestFit="1" customWidth="1"/>
    <col min="11" max="240" width="9.1640625" style="39" customWidth="1"/>
    <col min="241" max="242" width="4.6640625" style="39" customWidth="1"/>
    <col min="243" max="243" width="46.5" style="39" bestFit="1" customWidth="1"/>
    <col min="244" max="244" width="9.1640625" style="39" customWidth="1"/>
    <col min="245" max="16384" width="0.1640625" style="39"/>
  </cols>
  <sheetData>
    <row r="1" spans="1:15">
      <c r="A1" s="609" t="s">
        <v>97</v>
      </c>
      <c r="B1" s="609"/>
      <c r="C1" s="609"/>
      <c r="D1" s="609"/>
      <c r="E1" s="609"/>
      <c r="F1" s="609"/>
      <c r="G1" s="609"/>
      <c r="H1" s="609"/>
      <c r="I1" s="610" t="s">
        <v>28</v>
      </c>
      <c r="J1" s="610"/>
    </row>
    <row r="2" spans="1:15" ht="18.75" customHeight="1" thickBot="1">
      <c r="I2" s="611" t="s">
        <v>133</v>
      </c>
      <c r="J2" s="611"/>
    </row>
    <row r="3" spans="1:15" ht="26.25" customHeight="1" thickBot="1">
      <c r="A3" s="77"/>
      <c r="B3" s="190"/>
      <c r="C3" s="195"/>
      <c r="D3" s="78"/>
      <c r="E3" s="580" t="str">
        <f>'REVENUE DATA '!E75:F75</f>
        <v>Current Year 22-23</v>
      </c>
      <c r="F3" s="581"/>
      <c r="G3" s="580" t="str">
        <f>'REVENUE DATA '!G75:H75</f>
        <v>Previous  Year 21-22*</v>
      </c>
      <c r="H3" s="581"/>
      <c r="I3" s="585" t="s">
        <v>131</v>
      </c>
      <c r="J3" s="571"/>
    </row>
    <row r="4" spans="1:15" ht="0.75" customHeight="1" thickBot="1">
      <c r="A4" s="8"/>
      <c r="B4" s="191"/>
      <c r="C4" s="196"/>
      <c r="D4" s="80"/>
      <c r="E4" s="80"/>
      <c r="F4" s="80"/>
      <c r="G4" s="9"/>
      <c r="H4" s="9"/>
      <c r="I4" s="10"/>
      <c r="J4" s="81"/>
    </row>
    <row r="5" spans="1:15" ht="78" customHeight="1" thickBot="1">
      <c r="A5" s="77"/>
      <c r="B5" s="190"/>
      <c r="C5" s="197"/>
      <c r="D5" s="82" t="s">
        <v>98</v>
      </c>
      <c r="E5" s="14" t="str">
        <f>Glance!E7</f>
        <v>1st  Quarter Apr'22 to Jun'22</v>
      </c>
      <c r="F5" s="14" t="str">
        <f>Glance!F7</f>
        <v xml:space="preserve">Cumulative Up to 1st quarter </v>
      </c>
      <c r="G5" s="14" t="str">
        <f>Glance!G7</f>
        <v>1st  Quarter  Apr'21 to Jun'21</v>
      </c>
      <c r="H5" s="14" t="str">
        <f>Glance!H7</f>
        <v>Cumulative Up to 1st quarter</v>
      </c>
      <c r="I5" s="14" t="str">
        <f>Glance!I7</f>
        <v>1st Quarter</v>
      </c>
      <c r="J5" s="16" t="str">
        <f>Glance!J7</f>
        <v>Cumulative up to 1st Qtr</v>
      </c>
    </row>
    <row r="6" spans="1:15">
      <c r="A6" s="69" t="s">
        <v>99</v>
      </c>
      <c r="B6" s="192"/>
      <c r="C6" s="198" t="s">
        <v>100</v>
      </c>
      <c r="D6" s="83"/>
      <c r="E6" s="84"/>
      <c r="F6" s="85"/>
      <c r="G6" s="86"/>
      <c r="H6" s="87"/>
      <c r="I6" s="86"/>
      <c r="J6" s="87"/>
    </row>
    <row r="7" spans="1:15">
      <c r="A7" s="52"/>
      <c r="B7" s="193">
        <v>1</v>
      </c>
      <c r="C7" s="199" t="s">
        <v>125</v>
      </c>
      <c r="D7" s="89">
        <v>61</v>
      </c>
      <c r="E7" s="35">
        <v>5475.58</v>
      </c>
      <c r="F7" s="35">
        <f>E7</f>
        <v>5475.58</v>
      </c>
      <c r="G7" s="32">
        <v>3678.07</v>
      </c>
      <c r="H7" s="35">
        <f>+G7</f>
        <v>3678.07</v>
      </c>
      <c r="I7" s="29">
        <f t="shared" ref="I7:J10" si="0">E7/G7-1</f>
        <v>0.48871011155306987</v>
      </c>
      <c r="J7" s="33">
        <f t="shared" si="0"/>
        <v>0.48871011155306987</v>
      </c>
    </row>
    <row r="8" spans="1:15">
      <c r="A8" s="52"/>
      <c r="B8" s="193">
        <v>2</v>
      </c>
      <c r="C8" s="199" t="s">
        <v>385</v>
      </c>
      <c r="D8" s="90">
        <v>63.110999999999997</v>
      </c>
      <c r="E8" s="35">
        <f>4.28+12.91+65</f>
        <v>82.19</v>
      </c>
      <c r="F8" s="35">
        <f t="shared" ref="F8:F9" si="1">E8</f>
        <v>82.19</v>
      </c>
      <c r="G8" s="32">
        <f>14.25+51.04</f>
        <v>65.289999999999992</v>
      </c>
      <c r="H8" s="35">
        <f>+G8</f>
        <v>65.289999999999992</v>
      </c>
      <c r="I8" s="208">
        <f t="shared" si="0"/>
        <v>0.25884515239699812</v>
      </c>
      <c r="J8" s="209">
        <f t="shared" si="0"/>
        <v>0.25884515239699812</v>
      </c>
    </row>
    <row r="9" spans="1:15" s="316" customFormat="1">
      <c r="A9" s="52"/>
      <c r="B9" s="193">
        <v>3</v>
      </c>
      <c r="C9" s="199" t="str">
        <f>Glance!C77</f>
        <v>Non Tariff Income</v>
      </c>
      <c r="D9" s="90" t="s">
        <v>101</v>
      </c>
      <c r="E9" s="317">
        <v>64.5</v>
      </c>
      <c r="F9" s="35">
        <f t="shared" si="1"/>
        <v>64.5</v>
      </c>
      <c r="G9" s="32">
        <v>47.03</v>
      </c>
      <c r="H9" s="35">
        <f>+G9</f>
        <v>47.03</v>
      </c>
      <c r="I9" s="208">
        <f t="shared" si="0"/>
        <v>0.37146502232617484</v>
      </c>
      <c r="J9" s="209">
        <f t="shared" si="0"/>
        <v>0.37146502232617484</v>
      </c>
    </row>
    <row r="10" spans="1:15" ht="16" thickBot="1">
      <c r="A10" s="91"/>
      <c r="B10" s="194">
        <v>4</v>
      </c>
      <c r="C10" s="200" t="s">
        <v>102</v>
      </c>
      <c r="D10" s="94"/>
      <c r="E10" s="95">
        <f>SUM(E7:E9)</f>
        <v>5622.2699999999995</v>
      </c>
      <c r="F10" s="96">
        <f>SUM(F7:F9)</f>
        <v>5622.2699999999995</v>
      </c>
      <c r="G10" s="95">
        <f>SUM(G7:G9)</f>
        <v>3790.3900000000003</v>
      </c>
      <c r="H10" s="95">
        <f>SUM(H7:H9)</f>
        <v>3790.3900000000003</v>
      </c>
      <c r="I10" s="75">
        <f t="shared" si="0"/>
        <v>0.4832959141407609</v>
      </c>
      <c r="J10" s="122">
        <f t="shared" si="0"/>
        <v>0.4832959141407609</v>
      </c>
      <c r="K10" s="496"/>
      <c r="O10" s="496"/>
    </row>
    <row r="11" spans="1:15" ht="16" thickBot="1">
      <c r="A11" s="8"/>
      <c r="B11" s="79"/>
      <c r="C11" s="79"/>
      <c r="D11" s="97"/>
      <c r="E11" s="98"/>
      <c r="F11" s="99"/>
      <c r="G11" s="100"/>
      <c r="H11" s="100"/>
      <c r="I11" s="100"/>
      <c r="J11" s="101"/>
    </row>
    <row r="12" spans="1:15">
      <c r="A12" s="69" t="s">
        <v>103</v>
      </c>
      <c r="B12" s="102"/>
      <c r="C12" s="70" t="s">
        <v>104</v>
      </c>
      <c r="D12" s="83"/>
      <c r="E12" s="85"/>
      <c r="F12" s="103"/>
      <c r="G12" s="86"/>
      <c r="H12" s="86"/>
      <c r="I12" s="86"/>
      <c r="J12" s="87"/>
    </row>
    <row r="13" spans="1:15">
      <c r="A13" s="52"/>
      <c r="B13" s="88"/>
      <c r="C13" s="54" t="s">
        <v>105</v>
      </c>
      <c r="D13" s="104"/>
      <c r="E13" s="504"/>
      <c r="F13" s="505"/>
      <c r="G13" s="27"/>
      <c r="H13" s="27"/>
      <c r="I13" s="27"/>
      <c r="J13" s="38"/>
    </row>
    <row r="14" spans="1:15">
      <c r="A14" s="52"/>
      <c r="B14" s="88">
        <v>1</v>
      </c>
      <c r="C14" s="88" t="s">
        <v>106</v>
      </c>
      <c r="D14" s="90">
        <v>70</v>
      </c>
      <c r="E14" s="32">
        <f>5291.76+4.98+6.34</f>
        <v>5303.08</v>
      </c>
      <c r="F14" s="35">
        <f>+E14</f>
        <v>5303.08</v>
      </c>
      <c r="G14" s="32">
        <f>3355.35+136.69+4.61</f>
        <v>3496.65</v>
      </c>
      <c r="H14" s="32">
        <f>+G14</f>
        <v>3496.65</v>
      </c>
      <c r="I14" s="29">
        <f>E14/G14-1</f>
        <v>0.51661733373371654</v>
      </c>
      <c r="J14" s="33">
        <f>F14/H14-1</f>
        <v>0.51661733373371654</v>
      </c>
    </row>
    <row r="15" spans="1:15">
      <c r="A15" s="52"/>
      <c r="B15" s="88">
        <v>2</v>
      </c>
      <c r="C15" s="88" t="s">
        <v>107</v>
      </c>
      <c r="D15" s="90"/>
      <c r="E15" s="27"/>
      <c r="F15" s="38"/>
      <c r="G15" s="32"/>
      <c r="H15" s="32"/>
      <c r="I15" s="29"/>
      <c r="J15" s="33"/>
    </row>
    <row r="16" spans="1:15">
      <c r="A16" s="52"/>
      <c r="B16" s="88">
        <v>3</v>
      </c>
      <c r="C16" s="88" t="s">
        <v>108</v>
      </c>
      <c r="D16" s="90"/>
      <c r="E16" s="42">
        <f>E14-E15</f>
        <v>5303.08</v>
      </c>
      <c r="F16" s="105">
        <f>F14-F15</f>
        <v>5303.08</v>
      </c>
      <c r="G16" s="42">
        <f>+G14</f>
        <v>3496.65</v>
      </c>
      <c r="H16" s="42">
        <f>+H14</f>
        <v>3496.65</v>
      </c>
      <c r="I16" s="29">
        <f>E16/G16-1</f>
        <v>0.51661733373371654</v>
      </c>
      <c r="J16" s="33">
        <f>F16/H16-1</f>
        <v>0.51661733373371654</v>
      </c>
    </row>
    <row r="17" spans="1:10">
      <c r="A17" s="52"/>
      <c r="B17" s="88">
        <v>4</v>
      </c>
      <c r="C17" s="88" t="s">
        <v>109</v>
      </c>
      <c r="D17" s="90"/>
      <c r="E17" s="27"/>
      <c r="F17" s="38"/>
      <c r="G17" s="32"/>
      <c r="H17" s="32"/>
      <c r="I17" s="27" t="s">
        <v>110</v>
      </c>
      <c r="J17" s="38" t="s">
        <v>110</v>
      </c>
    </row>
    <row r="18" spans="1:10">
      <c r="A18" s="52"/>
      <c r="B18" s="88">
        <v>5</v>
      </c>
      <c r="C18" s="88" t="s">
        <v>111</v>
      </c>
      <c r="D18" s="90">
        <v>75</v>
      </c>
      <c r="E18" s="32">
        <v>147.11000000000001</v>
      </c>
      <c r="F18" s="35">
        <f>+E18</f>
        <v>147.11000000000001</v>
      </c>
      <c r="G18" s="32">
        <v>137.5</v>
      </c>
      <c r="H18" s="32">
        <f t="shared" ref="H18:H26" si="2">+G18</f>
        <v>137.5</v>
      </c>
      <c r="I18" s="29">
        <f t="shared" ref="I18:J20" si="3">E18/G18-1</f>
        <v>6.9890909090909226E-2</v>
      </c>
      <c r="J18" s="33">
        <f t="shared" si="3"/>
        <v>6.9890909090909226E-2</v>
      </c>
    </row>
    <row r="19" spans="1:10">
      <c r="A19" s="52"/>
      <c r="B19" s="88">
        <v>6</v>
      </c>
      <c r="C19" s="88" t="s">
        <v>112</v>
      </c>
      <c r="D19" s="90">
        <v>74</v>
      </c>
      <c r="E19" s="32">
        <v>18.16</v>
      </c>
      <c r="F19" s="35">
        <f t="shared" ref="F19:F24" si="4">+E19</f>
        <v>18.16</v>
      </c>
      <c r="G19" s="32">
        <v>12.09</v>
      </c>
      <c r="H19" s="32">
        <f t="shared" si="2"/>
        <v>12.09</v>
      </c>
      <c r="I19" s="29">
        <f t="shared" si="3"/>
        <v>0.50206782464846977</v>
      </c>
      <c r="J19" s="33">
        <f t="shared" si="3"/>
        <v>0.50206782464846977</v>
      </c>
    </row>
    <row r="20" spans="1:10">
      <c r="A20" s="52"/>
      <c r="B20" s="88">
        <v>7</v>
      </c>
      <c r="C20" s="88" t="s">
        <v>113</v>
      </c>
      <c r="D20" s="90">
        <v>76</v>
      </c>
      <c r="E20" s="32">
        <v>44.72</v>
      </c>
      <c r="F20" s="35">
        <f t="shared" si="4"/>
        <v>44.72</v>
      </c>
      <c r="G20" s="32">
        <v>28.17</v>
      </c>
      <c r="H20" s="32">
        <f t="shared" si="2"/>
        <v>28.17</v>
      </c>
      <c r="I20" s="29">
        <f t="shared" si="3"/>
        <v>0.58750443734469271</v>
      </c>
      <c r="J20" s="33">
        <f t="shared" si="3"/>
        <v>0.58750443734469271</v>
      </c>
    </row>
    <row r="21" spans="1:10">
      <c r="A21" s="52"/>
      <c r="B21" s="88">
        <v>8</v>
      </c>
      <c r="C21" s="88" t="s">
        <v>114</v>
      </c>
      <c r="D21" s="90"/>
      <c r="E21" s="32">
        <v>0</v>
      </c>
      <c r="F21" s="35">
        <f t="shared" si="4"/>
        <v>0</v>
      </c>
      <c r="G21" s="32">
        <v>0</v>
      </c>
      <c r="H21" s="32">
        <f t="shared" si="2"/>
        <v>0</v>
      </c>
      <c r="I21" s="29">
        <v>0</v>
      </c>
      <c r="J21" s="33">
        <v>0</v>
      </c>
    </row>
    <row r="22" spans="1:10">
      <c r="A22" s="52"/>
      <c r="B22" s="88">
        <v>9</v>
      </c>
      <c r="C22" s="88" t="s">
        <v>84</v>
      </c>
      <c r="D22" s="104">
        <v>77100</v>
      </c>
      <c r="E22" s="32">
        <v>99.49</v>
      </c>
      <c r="F22" s="35">
        <f t="shared" si="4"/>
        <v>99.49</v>
      </c>
      <c r="G22" s="32">
        <v>91.37</v>
      </c>
      <c r="H22" s="32">
        <f t="shared" si="2"/>
        <v>91.37</v>
      </c>
      <c r="I22" s="29">
        <f t="shared" ref="I22:J24" si="5">E22/G22-1</f>
        <v>8.8869431979861968E-2</v>
      </c>
      <c r="J22" s="33">
        <f t="shared" si="5"/>
        <v>8.8869431979861968E-2</v>
      </c>
    </row>
    <row r="23" spans="1:10">
      <c r="A23" s="52"/>
      <c r="B23" s="88">
        <v>10</v>
      </c>
      <c r="C23" s="88" t="s">
        <v>82</v>
      </c>
      <c r="D23" s="104">
        <v>78</v>
      </c>
      <c r="E23" s="32">
        <v>27.84</v>
      </c>
      <c r="F23" s="35">
        <f t="shared" si="4"/>
        <v>27.84</v>
      </c>
      <c r="G23" s="32">
        <v>26.27</v>
      </c>
      <c r="H23" s="32">
        <f t="shared" si="2"/>
        <v>26.27</v>
      </c>
      <c r="I23" s="29">
        <f t="shared" si="5"/>
        <v>5.9763989341454105E-2</v>
      </c>
      <c r="J23" s="33">
        <f t="shared" si="5"/>
        <v>5.9763989341454105E-2</v>
      </c>
    </row>
    <row r="24" spans="1:10" ht="55.5" customHeight="1">
      <c r="A24" s="52"/>
      <c r="B24" s="88">
        <v>11</v>
      </c>
      <c r="C24" s="106" t="s">
        <v>115</v>
      </c>
      <c r="D24" s="107" t="s">
        <v>116</v>
      </c>
      <c r="E24" s="35">
        <v>-33.04</v>
      </c>
      <c r="F24" s="35">
        <f t="shared" si="4"/>
        <v>-33.04</v>
      </c>
      <c r="G24" s="32">
        <f>-30.23+0.12</f>
        <v>-30.11</v>
      </c>
      <c r="H24" s="32">
        <f t="shared" si="2"/>
        <v>-30.11</v>
      </c>
      <c r="I24" s="29">
        <f t="shared" si="5"/>
        <v>9.7309863832613752E-2</v>
      </c>
      <c r="J24" s="33">
        <f t="shared" si="5"/>
        <v>9.7309863832613752E-2</v>
      </c>
    </row>
    <row r="25" spans="1:10">
      <c r="A25" s="52"/>
      <c r="B25" s="88">
        <v>12</v>
      </c>
      <c r="C25" s="88" t="s">
        <v>117</v>
      </c>
      <c r="D25" s="104"/>
      <c r="E25" s="32">
        <v>0</v>
      </c>
      <c r="F25" s="35">
        <v>0</v>
      </c>
      <c r="G25" s="32">
        <v>0</v>
      </c>
      <c r="H25" s="32">
        <f t="shared" si="2"/>
        <v>0</v>
      </c>
      <c r="I25" s="29">
        <v>0</v>
      </c>
      <c r="J25" s="33">
        <v>0</v>
      </c>
    </row>
    <row r="26" spans="1:10">
      <c r="A26" s="52"/>
      <c r="B26" s="88">
        <v>13</v>
      </c>
      <c r="C26" s="88" t="s">
        <v>132</v>
      </c>
      <c r="D26" s="104"/>
      <c r="E26" s="25">
        <v>0</v>
      </c>
      <c r="F26" s="105">
        <v>0</v>
      </c>
      <c r="G26" s="27">
        <v>0</v>
      </c>
      <c r="H26" s="32">
        <f t="shared" si="2"/>
        <v>0</v>
      </c>
      <c r="I26" s="32">
        <v>0</v>
      </c>
      <c r="J26" s="35">
        <v>0</v>
      </c>
    </row>
    <row r="27" spans="1:10" ht="15.75" customHeight="1" thickBot="1">
      <c r="A27" s="91"/>
      <c r="B27" s="92">
        <v>14</v>
      </c>
      <c r="C27" s="92" t="s">
        <v>118</v>
      </c>
      <c r="D27" s="94"/>
      <c r="E27" s="95">
        <f>SUM(E16:E25)</f>
        <v>5607.36</v>
      </c>
      <c r="F27" s="96">
        <f>SUM(F18:F26)+F16</f>
        <v>5607.36</v>
      </c>
      <c r="G27" s="95">
        <f t="shared" ref="G27:H27" si="6">SUM(G16:G25)</f>
        <v>3761.94</v>
      </c>
      <c r="H27" s="95">
        <f t="shared" si="6"/>
        <v>3761.94</v>
      </c>
      <c r="I27" s="108">
        <f>E27/G27-1</f>
        <v>0.49055008851815818</v>
      </c>
      <c r="J27" s="109">
        <f>F27/H27-1</f>
        <v>0.49055008851815818</v>
      </c>
    </row>
    <row r="28" spans="1:10" ht="2.25" customHeight="1">
      <c r="A28" s="110"/>
      <c r="B28" s="111"/>
      <c r="C28" s="111"/>
      <c r="D28" s="112"/>
      <c r="E28" s="113"/>
      <c r="F28" s="114"/>
      <c r="G28" s="115"/>
      <c r="H28" s="115"/>
      <c r="I28" s="116" t="e">
        <f>G28/#REF!-1</f>
        <v>#REF!</v>
      </c>
      <c r="J28" s="117"/>
    </row>
    <row r="29" spans="1:10" ht="33" hidden="1" thickBot="1">
      <c r="A29" s="118" t="s">
        <v>119</v>
      </c>
      <c r="B29" s="88"/>
      <c r="C29" s="119" t="s">
        <v>120</v>
      </c>
      <c r="D29" s="120"/>
      <c r="E29" s="202">
        <f>E10-E27</f>
        <v>14.909999999999854</v>
      </c>
      <c r="F29" s="202">
        <f>F10-F27</f>
        <v>14.909999999999854</v>
      </c>
      <c r="G29" s="203"/>
      <c r="H29" s="202">
        <f>H10-H27</f>
        <v>28.450000000000273</v>
      </c>
      <c r="I29" s="75"/>
      <c r="J29" s="122"/>
    </row>
    <row r="30" spans="1:10" ht="0.75" customHeight="1">
      <c r="A30" s="52"/>
      <c r="B30" s="88"/>
      <c r="C30" s="54"/>
      <c r="D30" s="104"/>
      <c r="E30" s="123"/>
      <c r="F30" s="123"/>
      <c r="G30" s="115"/>
      <c r="H30" s="124"/>
      <c r="I30" s="125" t="e">
        <f>+(G30-#REF!)/#REF!*100</f>
        <v>#REF!</v>
      </c>
      <c r="J30" s="117" t="e">
        <f>+(H30-#REF!)/#REF!*100</f>
        <v>#REF!</v>
      </c>
    </row>
    <row r="31" spans="1:10" ht="16" thickBot="1">
      <c r="A31" s="91" t="s">
        <v>121</v>
      </c>
      <c r="B31" s="92"/>
      <c r="C31" s="93" t="s">
        <v>122</v>
      </c>
      <c r="D31" s="94"/>
      <c r="E31" s="147"/>
      <c r="F31" s="147"/>
      <c r="G31" s="121"/>
      <c r="H31" s="147"/>
      <c r="I31" s="126"/>
      <c r="J31" s="127"/>
    </row>
    <row r="32" spans="1:10" ht="14.25" customHeight="1" thickBot="1">
      <c r="A32" s="575" t="s">
        <v>414</v>
      </c>
      <c r="B32" s="576"/>
      <c r="C32" s="576"/>
      <c r="D32" s="576"/>
      <c r="E32" s="576"/>
      <c r="F32" s="576"/>
      <c r="G32" s="576"/>
      <c r="H32" s="576"/>
      <c r="I32" s="576"/>
      <c r="J32" s="577"/>
    </row>
    <row r="33" spans="1:10" ht="16.5" customHeight="1" thickBot="1">
      <c r="A33" s="606"/>
      <c r="B33" s="607"/>
      <c r="C33" s="607"/>
      <c r="D33" s="607"/>
      <c r="E33" s="607"/>
      <c r="F33" s="607"/>
      <c r="G33" s="607"/>
      <c r="H33" s="607"/>
      <c r="I33" s="607"/>
      <c r="J33" s="608"/>
    </row>
    <row r="34" spans="1:10" ht="3" customHeight="1"/>
    <row r="35" spans="1:10" hidden="1">
      <c r="F35" s="76">
        <f>1300625.33/100</f>
        <v>13006.2533</v>
      </c>
    </row>
    <row r="36" spans="1:10" hidden="1">
      <c r="E36" s="128"/>
      <c r="F36" s="128"/>
    </row>
    <row r="37" spans="1:10" hidden="1">
      <c r="F37" s="76">
        <f>1303.91/100</f>
        <v>13.039100000000001</v>
      </c>
    </row>
    <row r="38" spans="1:10" hidden="1">
      <c r="F38" s="128">
        <f>F29-F37</f>
        <v>1.8708999999998532</v>
      </c>
    </row>
    <row r="39" spans="1:10">
      <c r="E39" s="128"/>
      <c r="F39" s="128"/>
      <c r="G39" s="128"/>
    </row>
    <row r="40" spans="1:10">
      <c r="E40" s="474"/>
    </row>
    <row r="41" spans="1:10">
      <c r="E41" s="475">
        <f>+E10-E27</f>
        <v>14.909999999999854</v>
      </c>
      <c r="F41" s="128"/>
    </row>
    <row r="42" spans="1:10">
      <c r="E42" s="474"/>
    </row>
  </sheetData>
  <mergeCells count="8">
    <mergeCell ref="A33:J33"/>
    <mergeCell ref="A1:H1"/>
    <mergeCell ref="I1:J1"/>
    <mergeCell ref="E3:F3"/>
    <mergeCell ref="G3:H3"/>
    <mergeCell ref="I3:J3"/>
    <mergeCell ref="A32:J32"/>
    <mergeCell ref="I2:J2"/>
  </mergeCells>
  <printOptions horizontalCentered="1" verticalCentered="1"/>
  <pageMargins left="0.55118110236220474" right="0.74803149606299213" top="0.78740157480314965" bottom="0.59055118110236227" header="0.31496062992125984" footer="0.31496062992125984"/>
  <pageSetup paperSize="9" scale="80" orientation="landscape" r:id="rId1"/>
  <headerFooter alignWithMargins="0"/>
  <drawing r:id="rId2"/>
  <legacyDrawing r:id="rId3"/>
  <oleObjects>
    <mc:AlternateContent xmlns:mc="http://schemas.openxmlformats.org/markup-compatibility/2006">
      <mc:Choice Requires="x14">
        <oleObject progId="PBrush" shapeId="5121" r:id="rId4">
          <objectPr defaultSize="0" autoPict="0" r:id="rId5">
            <anchor moveWithCells="1" sizeWithCells="1">
              <from>
                <xdr:col>2</xdr:col>
                <xdr:colOff>1168400</xdr:colOff>
                <xdr:row>4</xdr:row>
                <xdr:rowOff>127000</xdr:rowOff>
              </from>
              <to>
                <xdr:col>2</xdr:col>
                <xdr:colOff>2794000</xdr:colOff>
                <xdr:row>4</xdr:row>
                <xdr:rowOff>825500</xdr:rowOff>
              </to>
            </anchor>
          </objectPr>
        </oleObject>
      </mc:Choice>
      <mc:Fallback>
        <oleObject progId="PBrush" shapeId="5121"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Z57"/>
  <sheetViews>
    <sheetView topLeftCell="K1" zoomScaleSheetLayoutView="110" workbookViewId="0">
      <selection activeCell="P9" sqref="P9"/>
    </sheetView>
  </sheetViews>
  <sheetFormatPr baseColWidth="10" defaultColWidth="9.1640625" defaultRowHeight="13"/>
  <cols>
    <col min="1" max="1" width="9.1640625" style="326"/>
    <col min="2" max="2" width="32.5" style="326" customWidth="1"/>
    <col min="3" max="5" width="9.1640625" style="326"/>
    <col min="6" max="6" width="12.1640625" style="326" bestFit="1" customWidth="1"/>
    <col min="7" max="8" width="9.1640625" style="326"/>
    <col min="9" max="11" width="9.1640625" style="326" customWidth="1"/>
    <col min="12" max="12" width="10.5" style="326" customWidth="1"/>
    <col min="13" max="13" width="42.1640625" style="326" customWidth="1"/>
    <col min="14" max="16" width="9.1640625" style="326"/>
    <col min="17" max="17" width="12.1640625" style="326" bestFit="1" customWidth="1"/>
    <col min="18" max="23" width="9.1640625" style="326"/>
    <col min="24" max="24" width="12.33203125" style="326" bestFit="1" customWidth="1"/>
    <col min="25" max="25" width="9.1640625" style="326"/>
    <col min="26" max="26" width="10.33203125" style="326" bestFit="1" customWidth="1"/>
    <col min="27" max="16384" width="9.1640625" style="326"/>
  </cols>
  <sheetData>
    <row r="1" spans="1:26">
      <c r="A1" s="614" t="s">
        <v>140</v>
      </c>
      <c r="B1" s="615"/>
      <c r="C1" s="615"/>
      <c r="D1" s="615"/>
      <c r="E1" s="615"/>
      <c r="F1" s="615"/>
      <c r="G1" s="615"/>
      <c r="H1" s="615"/>
      <c r="I1" s="324"/>
      <c r="J1" s="324"/>
      <c r="K1" s="325"/>
      <c r="L1" s="616" t="s">
        <v>220</v>
      </c>
      <c r="M1" s="616"/>
      <c r="N1" s="616"/>
      <c r="O1" s="616"/>
      <c r="P1" s="616"/>
      <c r="Q1" s="616"/>
      <c r="R1" s="616"/>
      <c r="S1" s="616"/>
    </row>
    <row r="2" spans="1:26">
      <c r="A2" s="327"/>
      <c r="B2" s="612" t="s">
        <v>142</v>
      </c>
      <c r="C2" s="612"/>
      <c r="D2" s="612"/>
      <c r="E2" s="612"/>
      <c r="F2" s="612"/>
      <c r="G2" s="612"/>
      <c r="H2" s="612"/>
      <c r="I2" s="612"/>
      <c r="J2" s="612"/>
      <c r="K2" s="613"/>
      <c r="L2" s="327"/>
      <c r="M2" s="612" t="s">
        <v>142</v>
      </c>
      <c r="N2" s="612"/>
      <c r="O2" s="612"/>
      <c r="P2" s="612"/>
      <c r="Q2" s="612"/>
      <c r="R2" s="612"/>
      <c r="S2" s="612"/>
      <c r="T2" s="612"/>
      <c r="U2" s="612"/>
      <c r="V2" s="613"/>
    </row>
    <row r="3" spans="1:26" ht="14" thickBot="1">
      <c r="A3" s="327"/>
      <c r="B3" s="328"/>
      <c r="C3" s="328"/>
      <c r="D3" s="328"/>
      <c r="E3" s="329" t="s">
        <v>143</v>
      </c>
      <c r="F3" s="328"/>
      <c r="G3" s="329" t="s">
        <v>144</v>
      </c>
      <c r="H3" s="328"/>
      <c r="I3" s="328"/>
      <c r="J3" s="328"/>
      <c r="K3" s="330"/>
      <c r="L3" s="327"/>
      <c r="M3" s="328"/>
      <c r="N3" s="328"/>
      <c r="O3" s="328"/>
      <c r="P3" s="329" t="s">
        <v>143</v>
      </c>
      <c r="Q3" s="328"/>
      <c r="R3" s="329" t="s">
        <v>144</v>
      </c>
      <c r="S3" s="328"/>
      <c r="T3" s="328"/>
      <c r="U3" s="328"/>
      <c r="V3" s="330"/>
    </row>
    <row r="4" spans="1:26" ht="14" thickBot="1">
      <c r="A4" s="327"/>
      <c r="B4" s="329" t="s">
        <v>145</v>
      </c>
      <c r="C4" s="328"/>
      <c r="D4" s="328"/>
      <c r="E4" s="328">
        <v>3698</v>
      </c>
      <c r="F4" s="328" t="s">
        <v>146</v>
      </c>
      <c r="G4" s="328">
        <v>4738</v>
      </c>
      <c r="H4" s="328"/>
      <c r="I4" s="328"/>
      <c r="J4" s="328"/>
      <c r="K4" s="330"/>
      <c r="L4" s="327"/>
      <c r="M4" s="329" t="s">
        <v>145</v>
      </c>
      <c r="N4" s="328"/>
      <c r="O4" s="328"/>
      <c r="P4" s="328"/>
      <c r="Q4" s="328" t="s">
        <v>370</v>
      </c>
      <c r="R4" s="328">
        <v>2111.7399999999998</v>
      </c>
      <c r="S4" s="328"/>
      <c r="T4" s="331" t="s">
        <v>147</v>
      </c>
      <c r="U4" s="332"/>
      <c r="V4" s="330"/>
      <c r="X4" s="617" t="s">
        <v>148</v>
      </c>
      <c r="Y4" s="618"/>
      <c r="Z4" s="619"/>
    </row>
    <row r="5" spans="1:26">
      <c r="A5" s="327"/>
      <c r="B5" s="328" t="s">
        <v>149</v>
      </c>
      <c r="C5" s="328"/>
      <c r="D5" s="328"/>
      <c r="E5" s="328"/>
      <c r="F5" s="328" t="s">
        <v>150</v>
      </c>
      <c r="G5" s="328">
        <v>123</v>
      </c>
      <c r="H5" s="328"/>
      <c r="I5" s="328"/>
      <c r="J5" s="328"/>
      <c r="K5" s="330"/>
      <c r="L5" s="327"/>
      <c r="M5" s="328" t="s">
        <v>190</v>
      </c>
      <c r="N5" s="328"/>
      <c r="O5" s="328" t="s">
        <v>151</v>
      </c>
      <c r="P5" s="328">
        <v>3383.98</v>
      </c>
      <c r="Q5" s="328" t="s">
        <v>371</v>
      </c>
      <c r="R5" s="333">
        <v>1937.32</v>
      </c>
      <c r="S5" s="328"/>
      <c r="T5" s="329" t="s">
        <v>152</v>
      </c>
      <c r="U5" s="328" t="s">
        <v>153</v>
      </c>
      <c r="V5" s="330">
        <v>-0.37</v>
      </c>
      <c r="X5" s="326" t="s">
        <v>154</v>
      </c>
      <c r="Y5" s="326" t="s">
        <v>155</v>
      </c>
      <c r="Z5" s="326" t="s">
        <v>156</v>
      </c>
    </row>
    <row r="6" spans="1:26">
      <c r="A6" s="327"/>
      <c r="B6" s="328"/>
      <c r="C6" s="328"/>
      <c r="D6" s="328"/>
      <c r="E6" s="328"/>
      <c r="F6" s="328"/>
      <c r="G6" s="328"/>
      <c r="H6" s="328"/>
      <c r="I6" s="328"/>
      <c r="J6" s="328"/>
      <c r="K6" s="330"/>
      <c r="L6" s="362" t="s">
        <v>157</v>
      </c>
      <c r="M6" s="363" t="s">
        <v>189</v>
      </c>
      <c r="N6" s="363"/>
      <c r="O6" s="363" t="s">
        <v>151</v>
      </c>
      <c r="P6" s="363">
        <v>44.760000000000005</v>
      </c>
      <c r="Q6" s="328" t="s">
        <v>150</v>
      </c>
      <c r="R6" s="333">
        <f>40.74+40.55+14.46</f>
        <v>95.75</v>
      </c>
      <c r="S6" s="328"/>
      <c r="T6" s="329"/>
      <c r="U6" s="328"/>
      <c r="V6" s="330"/>
    </row>
    <row r="7" spans="1:26">
      <c r="A7" s="334" t="s">
        <v>157</v>
      </c>
      <c r="B7" s="329" t="s">
        <v>158</v>
      </c>
      <c r="C7" s="328"/>
      <c r="D7" s="328"/>
      <c r="E7" s="328">
        <v>589</v>
      </c>
      <c r="F7" s="328"/>
      <c r="G7" s="329">
        <f>SUM(G4:G5)</f>
        <v>4861</v>
      </c>
      <c r="H7" s="328"/>
      <c r="I7" s="328"/>
      <c r="J7" s="328"/>
      <c r="K7" s="330"/>
      <c r="L7" s="334" t="s">
        <v>157</v>
      </c>
      <c r="M7" s="329" t="s">
        <v>158</v>
      </c>
      <c r="N7" s="328"/>
      <c r="O7" s="328" t="s">
        <v>151</v>
      </c>
      <c r="P7" s="328">
        <v>1204.49</v>
      </c>
      <c r="Q7" s="328"/>
      <c r="R7" s="329">
        <f>SUM(R4:R6)</f>
        <v>4144.8099999999995</v>
      </c>
      <c r="S7" s="328"/>
      <c r="T7" s="328"/>
      <c r="U7" s="328" t="s">
        <v>8</v>
      </c>
      <c r="V7" s="330">
        <v>39.46</v>
      </c>
      <c r="W7" s="336">
        <v>42826</v>
      </c>
      <c r="X7" s="361">
        <f>1649323600/10^6</f>
        <v>1649.3235999999999</v>
      </c>
      <c r="Y7" s="361">
        <v>5.5149999999999997</v>
      </c>
      <c r="Z7" s="361">
        <f>+X7*Y7/10</f>
        <v>909.60196539999993</v>
      </c>
    </row>
    <row r="8" spans="1:26">
      <c r="A8" s="327"/>
      <c r="B8" s="328"/>
      <c r="C8" s="328"/>
      <c r="D8" s="328"/>
      <c r="E8" s="329">
        <f>+E4-E7</f>
        <v>3109</v>
      </c>
      <c r="F8" s="328" t="s">
        <v>159</v>
      </c>
      <c r="G8" s="328"/>
      <c r="H8" s="328"/>
      <c r="I8" s="328"/>
      <c r="J8" s="328"/>
      <c r="K8" s="330"/>
      <c r="L8" s="327"/>
      <c r="M8" s="328"/>
      <c r="N8" s="328"/>
      <c r="O8" s="328"/>
      <c r="P8" s="329">
        <f>+P5-P6-P7</f>
        <v>2134.7299999999996</v>
      </c>
      <c r="Q8" s="328" t="s">
        <v>159</v>
      </c>
      <c r="R8" s="335"/>
      <c r="S8" s="328"/>
      <c r="T8" s="328" t="s">
        <v>160</v>
      </c>
      <c r="U8" s="328" t="s">
        <v>161</v>
      </c>
      <c r="V8" s="330">
        <v>-3.34</v>
      </c>
      <c r="W8" s="336">
        <v>42856</v>
      </c>
      <c r="X8" s="337">
        <f>1740503161/10^6</f>
        <v>1740.5031610000001</v>
      </c>
      <c r="Y8" s="337">
        <v>5.4561000000000002</v>
      </c>
      <c r="Z8" s="361">
        <f>+X8*Y8/10</f>
        <v>949.63592967321006</v>
      </c>
    </row>
    <row r="9" spans="1:26">
      <c r="A9" s="334" t="s">
        <v>162</v>
      </c>
      <c r="B9" s="329" t="s">
        <v>163</v>
      </c>
      <c r="C9" s="328"/>
      <c r="D9" s="328"/>
      <c r="E9" s="328"/>
      <c r="F9" s="328" t="s">
        <v>164</v>
      </c>
      <c r="G9" s="328">
        <f>1896/4</f>
        <v>474</v>
      </c>
      <c r="H9" s="328"/>
      <c r="I9" s="328"/>
      <c r="J9" s="328"/>
      <c r="K9" s="330"/>
      <c r="L9" s="334" t="s">
        <v>162</v>
      </c>
      <c r="M9" s="329" t="s">
        <v>163</v>
      </c>
      <c r="N9" s="328"/>
      <c r="O9" s="328" t="s">
        <v>146</v>
      </c>
      <c r="P9" s="328">
        <f>+V9+V13+V17</f>
        <v>321.16999999999996</v>
      </c>
      <c r="Q9" s="328"/>
      <c r="R9" s="328"/>
      <c r="S9" s="328"/>
      <c r="T9" s="328"/>
      <c r="U9" s="328"/>
      <c r="V9" s="338">
        <f>SUM(V5:V8)</f>
        <v>35.75</v>
      </c>
      <c r="W9" s="336">
        <v>42887</v>
      </c>
      <c r="X9" s="337">
        <f>1547464818/10^6</f>
        <v>1547.4648179999999</v>
      </c>
      <c r="Y9" s="337">
        <v>4.9013999999999998</v>
      </c>
      <c r="Z9" s="361">
        <f>+X9*Y9/10</f>
        <v>758.47440589451992</v>
      </c>
    </row>
    <row r="10" spans="1:26">
      <c r="A10" s="327"/>
      <c r="B10" s="620" t="s">
        <v>165</v>
      </c>
      <c r="C10" s="621"/>
      <c r="D10" s="328"/>
      <c r="E10" s="328"/>
      <c r="F10" s="328"/>
      <c r="G10" s="329">
        <f>+G7-G9</f>
        <v>4387</v>
      </c>
      <c r="H10" s="328">
        <f>E8/G10*10</f>
        <v>7.086847503989059</v>
      </c>
      <c r="I10" s="328"/>
      <c r="J10" s="328"/>
      <c r="K10" s="330"/>
      <c r="L10" s="327"/>
      <c r="M10" s="620"/>
      <c r="N10" s="621"/>
      <c r="O10" s="328"/>
      <c r="P10" s="328"/>
      <c r="Q10" s="328"/>
      <c r="R10" s="329">
        <f>+R7-R8</f>
        <v>4144.8099999999995</v>
      </c>
      <c r="S10" s="328">
        <f>P8/R10*10</f>
        <v>5.1503687744432192</v>
      </c>
      <c r="T10" s="329" t="s">
        <v>166</v>
      </c>
      <c r="U10" s="328" t="s">
        <v>153</v>
      </c>
      <c r="V10" s="330">
        <v>75.48</v>
      </c>
      <c r="X10" s="339">
        <f>SUM(X7:X9)</f>
        <v>4937.2915790000006</v>
      </c>
      <c r="Y10" s="339">
        <v>5.72</v>
      </c>
      <c r="Z10" s="339">
        <f>X10*Y10/10</f>
        <v>2824.1307831880004</v>
      </c>
    </row>
    <row r="11" spans="1:26">
      <c r="A11" s="327"/>
      <c r="B11" s="622"/>
      <c r="C11" s="623"/>
      <c r="D11" s="328"/>
      <c r="E11" s="328">
        <v>361.2</v>
      </c>
      <c r="F11" s="328"/>
      <c r="G11" s="328"/>
      <c r="H11" s="328"/>
      <c r="I11" s="328"/>
      <c r="J11" s="328"/>
      <c r="K11" s="330"/>
      <c r="L11" s="327"/>
      <c r="M11" s="622"/>
      <c r="N11" s="623"/>
      <c r="O11" s="328"/>
      <c r="Q11" s="328"/>
      <c r="R11" s="328"/>
      <c r="S11" s="328"/>
      <c r="T11" s="328"/>
      <c r="U11" s="328" t="s">
        <v>8</v>
      </c>
      <c r="V11" s="330">
        <v>63.82</v>
      </c>
      <c r="W11" s="336">
        <v>42917</v>
      </c>
      <c r="X11" s="337">
        <f>1376780554/10^6</f>
        <v>1376.7805539999999</v>
      </c>
      <c r="Y11" s="337">
        <v>5.7191000000000001</v>
      </c>
      <c r="Z11" s="361">
        <f>(+X11*Y11)/10</f>
        <v>787.39456663813996</v>
      </c>
    </row>
    <row r="12" spans="1:26">
      <c r="A12" s="327"/>
      <c r="B12" s="328"/>
      <c r="C12" s="328" t="s">
        <v>127</v>
      </c>
      <c r="D12" s="328"/>
      <c r="E12" s="329">
        <f>+E8-E11</f>
        <v>2747.8</v>
      </c>
      <c r="F12" s="328"/>
      <c r="G12" s="328"/>
      <c r="H12" s="328"/>
      <c r="I12" s="328"/>
      <c r="J12" s="328"/>
      <c r="K12" s="330"/>
      <c r="L12" s="327"/>
      <c r="M12" s="328"/>
      <c r="N12" s="328"/>
      <c r="O12" s="328"/>
      <c r="P12" s="329">
        <f>+P8-P9</f>
        <v>1813.5599999999995</v>
      </c>
      <c r="Q12" s="328"/>
      <c r="R12" s="328"/>
      <c r="S12" s="328"/>
      <c r="T12" s="328" t="s">
        <v>160</v>
      </c>
      <c r="U12" s="328" t="s">
        <v>161</v>
      </c>
      <c r="V12" s="330">
        <v>-0.74</v>
      </c>
      <c r="W12" s="336">
        <v>42948</v>
      </c>
      <c r="X12" s="337">
        <f>1487451181/10^6</f>
        <v>1487.4511809999999</v>
      </c>
      <c r="Y12" s="337">
        <v>5.3776000000000002</v>
      </c>
      <c r="Z12" s="340">
        <f>7998911619/10^7</f>
        <v>799.89116190000004</v>
      </c>
    </row>
    <row r="13" spans="1:26">
      <c r="A13" s="327"/>
      <c r="B13" s="328" t="s">
        <v>167</v>
      </c>
      <c r="C13" s="328"/>
      <c r="D13" s="328"/>
      <c r="E13" s="328">
        <v>10</v>
      </c>
      <c r="F13" s="328"/>
      <c r="G13" s="328"/>
      <c r="H13" s="328"/>
      <c r="I13" s="328"/>
      <c r="J13" s="328"/>
      <c r="K13" s="330"/>
      <c r="L13" s="327"/>
      <c r="M13" s="328" t="s">
        <v>167</v>
      </c>
      <c r="N13" s="328"/>
      <c r="O13" s="328"/>
      <c r="P13" s="328">
        <v>125.04</v>
      </c>
      <c r="Q13" s="328"/>
      <c r="R13" s="328"/>
      <c r="S13" s="328"/>
      <c r="T13" s="328"/>
      <c r="U13" s="328"/>
      <c r="V13" s="338">
        <f>SUM(V10:V12)</f>
        <v>138.56</v>
      </c>
      <c r="W13" s="336">
        <v>42979</v>
      </c>
      <c r="X13" s="337">
        <f>1713333035/10^6</f>
        <v>1713.3330350000001</v>
      </c>
      <c r="Y13" s="337">
        <v>5.5377999999999998</v>
      </c>
      <c r="Z13" s="337">
        <f>9488165887/10^7</f>
        <v>948.81658870000001</v>
      </c>
    </row>
    <row r="14" spans="1:26">
      <c r="A14" s="327"/>
      <c r="B14" s="328" t="s">
        <v>168</v>
      </c>
      <c r="C14" s="328">
        <v>191</v>
      </c>
      <c r="D14" s="333">
        <v>0.64248366013071889</v>
      </c>
      <c r="E14" s="333">
        <f>+C14*D14/10</f>
        <v>12.271437908496731</v>
      </c>
      <c r="F14" s="341">
        <f>+E12+E13+E14</f>
        <v>2770.071437908497</v>
      </c>
      <c r="G14" s="328">
        <v>1349</v>
      </c>
      <c r="H14" s="328"/>
      <c r="I14" s="328"/>
      <c r="J14" s="328"/>
      <c r="K14" s="330"/>
      <c r="L14" s="327"/>
      <c r="M14" s="328" t="s">
        <v>168</v>
      </c>
      <c r="N14" s="328"/>
      <c r="O14" s="333"/>
      <c r="P14" s="333">
        <v>7.06</v>
      </c>
      <c r="Q14" s="341">
        <f>+P12+P13+P14</f>
        <v>1945.6599999999994</v>
      </c>
      <c r="R14" s="328"/>
      <c r="S14" s="328"/>
      <c r="T14" s="329" t="s">
        <v>169</v>
      </c>
      <c r="U14" s="328" t="s">
        <v>153</v>
      </c>
      <c r="V14" s="330">
        <v>79.069999999999993</v>
      </c>
      <c r="X14" s="339">
        <f>+X11+X12+X13</f>
        <v>4577.56477</v>
      </c>
      <c r="Y14" s="339">
        <f>Z14/X14*10</f>
        <v>5.5402871279047794</v>
      </c>
      <c r="Z14" s="339">
        <f>+Z11+Z12+Z13</f>
        <v>2536.1023172381401</v>
      </c>
    </row>
    <row r="15" spans="1:26">
      <c r="A15" s="327"/>
      <c r="B15" s="342" t="s">
        <v>170</v>
      </c>
      <c r="C15" s="328"/>
      <c r="D15" s="328"/>
      <c r="E15" s="333">
        <v>38</v>
      </c>
      <c r="F15" s="328"/>
      <c r="G15" s="328">
        <v>170</v>
      </c>
      <c r="H15" s="328"/>
      <c r="I15" s="328"/>
      <c r="J15" s="328"/>
      <c r="K15" s="330"/>
      <c r="L15" s="327"/>
      <c r="M15" s="469" t="s">
        <v>171</v>
      </c>
      <c r="N15" s="335"/>
      <c r="O15" s="335"/>
      <c r="P15" s="359">
        <v>42.25</v>
      </c>
      <c r="Q15" s="328"/>
      <c r="R15" s="328"/>
      <c r="S15" s="328"/>
      <c r="T15" s="328"/>
      <c r="U15" s="328" t="s">
        <v>8</v>
      </c>
      <c r="V15" s="330">
        <v>74.88</v>
      </c>
      <c r="W15" s="336">
        <v>43009</v>
      </c>
      <c r="X15" s="361">
        <v>1667.6089999999999</v>
      </c>
      <c r="Y15" s="337">
        <v>5.6970000000000001</v>
      </c>
      <c r="Z15" s="326">
        <v>950.03</v>
      </c>
    </row>
    <row r="16" spans="1:26">
      <c r="A16" s="343"/>
      <c r="B16" s="342" t="s">
        <v>172</v>
      </c>
      <c r="C16" s="344"/>
      <c r="D16" s="344"/>
      <c r="E16" s="345">
        <v>10</v>
      </c>
      <c r="F16" s="344"/>
      <c r="G16" s="344">
        <f>+G14+G15</f>
        <v>1519</v>
      </c>
      <c r="H16" s="344"/>
      <c r="I16" s="344"/>
      <c r="J16" s="344"/>
      <c r="K16" s="346"/>
      <c r="L16" s="343"/>
      <c r="M16" s="342" t="s">
        <v>172</v>
      </c>
      <c r="N16" s="344"/>
      <c r="O16" s="344"/>
      <c r="P16" s="345">
        <v>20.65</v>
      </c>
      <c r="Q16" s="344"/>
      <c r="R16" s="344"/>
      <c r="S16" s="344"/>
      <c r="T16" s="328" t="s">
        <v>160</v>
      </c>
      <c r="U16" s="328" t="s">
        <v>161</v>
      </c>
      <c r="V16" s="330">
        <v>-7.09</v>
      </c>
      <c r="W16" s="336">
        <v>43040</v>
      </c>
      <c r="X16" s="337">
        <v>1619.55</v>
      </c>
      <c r="Y16" s="337">
        <v>5.6345999999999998</v>
      </c>
      <c r="Z16" s="326">
        <v>912.55</v>
      </c>
    </row>
    <row r="17" spans="1:26" ht="14" thickBot="1">
      <c r="A17" s="348"/>
      <c r="B17" s="349"/>
      <c r="C17" s="349"/>
      <c r="D17" s="349"/>
      <c r="E17" s="350">
        <f>SUM(E12:E16)</f>
        <v>2818.071437908497</v>
      </c>
      <c r="F17" s="349"/>
      <c r="G17" s="349"/>
      <c r="H17" s="349"/>
      <c r="I17" s="349"/>
      <c r="J17" s="349"/>
      <c r="K17" s="351"/>
      <c r="L17" s="348"/>
      <c r="M17" s="349"/>
      <c r="N17" s="349"/>
      <c r="O17" s="349"/>
      <c r="P17" s="350">
        <f>SUM(P12:P16)</f>
        <v>2008.5599999999995</v>
      </c>
      <c r="Q17" s="349"/>
      <c r="R17" s="349"/>
      <c r="S17" s="349"/>
      <c r="T17" s="349"/>
      <c r="U17" s="328"/>
      <c r="V17" s="338">
        <f>SUM(V14:V16)</f>
        <v>146.85999999999999</v>
      </c>
      <c r="W17" s="336">
        <v>43070</v>
      </c>
      <c r="X17" s="361">
        <v>1541.55</v>
      </c>
      <c r="Y17" s="337">
        <v>6.1165000000000003</v>
      </c>
      <c r="Z17" s="326">
        <v>942.89</v>
      </c>
    </row>
    <row r="18" spans="1:26" hidden="1">
      <c r="A18" s="352"/>
      <c r="K18" s="353"/>
      <c r="U18" s="328" t="s">
        <v>173</v>
      </c>
      <c r="V18" s="329">
        <f>SUM(V17,V13,V9)</f>
        <v>321.16999999999996</v>
      </c>
      <c r="W18" s="336">
        <v>43101</v>
      </c>
    </row>
    <row r="19" spans="1:26" hidden="1"/>
    <row r="20" spans="1:26" hidden="1">
      <c r="L20" s="616" t="s">
        <v>141</v>
      </c>
      <c r="M20" s="616"/>
      <c r="N20" s="616"/>
      <c r="O20" s="616"/>
      <c r="P20" s="616"/>
      <c r="Q20" s="616"/>
      <c r="R20" s="616"/>
      <c r="S20" s="616"/>
    </row>
    <row r="21" spans="1:26" hidden="1">
      <c r="L21" s="327"/>
      <c r="M21" s="612" t="s">
        <v>174</v>
      </c>
      <c r="N21" s="612"/>
      <c r="O21" s="612"/>
      <c r="P21" s="612"/>
      <c r="Q21" s="612"/>
      <c r="R21" s="612"/>
      <c r="S21" s="612"/>
      <c r="T21" s="612"/>
      <c r="U21" s="612"/>
      <c r="V21" s="613"/>
    </row>
    <row r="22" spans="1:26" hidden="1">
      <c r="L22" s="327"/>
      <c r="M22" s="328"/>
      <c r="N22" s="328"/>
      <c r="O22" s="328"/>
      <c r="P22" s="329" t="s">
        <v>175</v>
      </c>
      <c r="Q22" s="328"/>
      <c r="R22" s="329" t="s">
        <v>144</v>
      </c>
      <c r="S22" s="328"/>
      <c r="T22" s="328"/>
      <c r="U22" s="328"/>
      <c r="V22" s="330"/>
    </row>
    <row r="23" spans="1:26" hidden="1">
      <c r="L23" s="327"/>
      <c r="M23" s="329" t="s">
        <v>145</v>
      </c>
      <c r="N23" s="328"/>
      <c r="O23" s="328"/>
      <c r="P23" s="328">
        <v>4422.88</v>
      </c>
      <c r="Q23" s="328" t="s">
        <v>146</v>
      </c>
      <c r="R23" s="328">
        <v>5489.5</v>
      </c>
      <c r="S23" s="328"/>
      <c r="T23" s="331" t="s">
        <v>147</v>
      </c>
      <c r="U23" s="332"/>
      <c r="V23" s="330"/>
    </row>
    <row r="24" spans="1:26" hidden="1">
      <c r="L24" s="327"/>
      <c r="M24" s="328" t="s">
        <v>176</v>
      </c>
      <c r="N24" s="328"/>
      <c r="O24" s="328" t="s">
        <v>151</v>
      </c>
      <c r="P24" s="328">
        <v>20.21</v>
      </c>
      <c r="Q24" s="328" t="s">
        <v>150</v>
      </c>
      <c r="R24" s="333">
        <v>38.950000000000003</v>
      </c>
      <c r="S24" s="328"/>
      <c r="T24" s="329" t="s">
        <v>177</v>
      </c>
      <c r="U24" s="328" t="s">
        <v>153</v>
      </c>
      <c r="V24" s="330">
        <v>57.76</v>
      </c>
    </row>
    <row r="25" spans="1:26" hidden="1">
      <c r="L25" s="334" t="s">
        <v>157</v>
      </c>
      <c r="M25" s="329" t="s">
        <v>158</v>
      </c>
      <c r="N25" s="328"/>
      <c r="O25" s="328" t="s">
        <v>151</v>
      </c>
      <c r="P25" s="328">
        <v>668.82</v>
      </c>
      <c r="Q25" s="328"/>
      <c r="R25" s="329">
        <f>SUM(R23:R24)</f>
        <v>5528.45</v>
      </c>
      <c r="S25" s="328"/>
      <c r="T25" s="328"/>
      <c r="U25" s="328" t="s">
        <v>8</v>
      </c>
      <c r="V25" s="330">
        <v>92.28</v>
      </c>
    </row>
    <row r="26" spans="1:26" hidden="1">
      <c r="L26" s="327"/>
      <c r="M26" s="328"/>
      <c r="N26" s="328"/>
      <c r="O26" s="328"/>
      <c r="P26" s="329">
        <f>+P23-P25+P24</f>
        <v>3774.27</v>
      </c>
      <c r="Q26" s="328" t="s">
        <v>159</v>
      </c>
      <c r="R26" s="328">
        <v>635</v>
      </c>
      <c r="S26" s="328"/>
      <c r="T26" s="328" t="s">
        <v>160</v>
      </c>
      <c r="U26" s="328" t="s">
        <v>161</v>
      </c>
      <c r="V26" s="330">
        <v>-25.9</v>
      </c>
    </row>
    <row r="27" spans="1:26" hidden="1">
      <c r="L27" s="334" t="s">
        <v>162</v>
      </c>
      <c r="M27" s="329" t="s">
        <v>178</v>
      </c>
      <c r="N27" s="328"/>
      <c r="O27" s="328" t="s">
        <v>146</v>
      </c>
      <c r="P27" s="328">
        <f>V36</f>
        <v>383.78999999999996</v>
      </c>
      <c r="Q27" s="328"/>
      <c r="R27" s="328"/>
      <c r="S27" s="328"/>
      <c r="T27" s="328"/>
      <c r="U27" s="328"/>
      <c r="V27" s="338">
        <f>SUM(V24:V26)</f>
        <v>124.13999999999999</v>
      </c>
    </row>
    <row r="28" spans="1:26" hidden="1">
      <c r="L28" s="327"/>
      <c r="M28" s="354"/>
      <c r="N28" s="355"/>
      <c r="O28" s="328"/>
      <c r="P28" s="328"/>
      <c r="Q28" s="328"/>
      <c r="R28" s="329">
        <f>+R25-R26</f>
        <v>4893.45</v>
      </c>
      <c r="S28" s="328">
        <f>P26/R28*10</f>
        <v>7.7129019403488339</v>
      </c>
      <c r="T28" s="329" t="s">
        <v>179</v>
      </c>
      <c r="U28" s="328" t="s">
        <v>153</v>
      </c>
      <c r="V28" s="330">
        <v>52.37</v>
      </c>
    </row>
    <row r="29" spans="1:26" ht="14" hidden="1">
      <c r="L29" s="327" t="s">
        <v>160</v>
      </c>
      <c r="M29" s="356" t="s">
        <v>180</v>
      </c>
      <c r="N29" s="357"/>
      <c r="O29" s="328"/>
      <c r="P29" s="358">
        <v>326.72000000000003</v>
      </c>
      <c r="Q29" s="328"/>
      <c r="R29" s="328"/>
      <c r="S29" s="328"/>
      <c r="T29" s="328"/>
      <c r="U29" s="328" t="s">
        <v>8</v>
      </c>
      <c r="V29" s="330">
        <v>92.87</v>
      </c>
    </row>
    <row r="30" spans="1:26" hidden="1">
      <c r="L30" s="327"/>
      <c r="M30" s="328"/>
      <c r="N30" s="328"/>
      <c r="O30" s="328"/>
      <c r="P30" s="329">
        <f>+P26-P27-P29</f>
        <v>3063.76</v>
      </c>
      <c r="Q30" s="328"/>
      <c r="R30" s="328"/>
      <c r="S30" s="328"/>
      <c r="T30" s="328" t="s">
        <v>160</v>
      </c>
      <c r="U30" s="328" t="s">
        <v>161</v>
      </c>
      <c r="V30" s="330">
        <v>-19.899999999999999</v>
      </c>
    </row>
    <row r="31" spans="1:26" hidden="1">
      <c r="L31" s="327"/>
      <c r="M31" s="328" t="s">
        <v>167</v>
      </c>
      <c r="N31" s="328"/>
      <c r="O31" s="328"/>
      <c r="P31" s="335">
        <v>10</v>
      </c>
      <c r="Q31" s="328"/>
      <c r="R31" s="328"/>
      <c r="S31" s="328"/>
      <c r="T31" s="328"/>
      <c r="U31" s="328"/>
      <c r="V31" s="338">
        <f>SUM(V28:V30)</f>
        <v>125.34</v>
      </c>
    </row>
    <row r="32" spans="1:26" hidden="1">
      <c r="L32" s="327"/>
      <c r="M32" s="328" t="s">
        <v>168</v>
      </c>
      <c r="N32" s="328">
        <v>191</v>
      </c>
      <c r="O32" s="333">
        <v>0.64248366013071889</v>
      </c>
      <c r="P32" s="333">
        <v>12.27</v>
      </c>
      <c r="Q32" s="341">
        <f>+P30+P31+P32</f>
        <v>3086.03</v>
      </c>
      <c r="R32" s="328"/>
      <c r="S32" s="328"/>
      <c r="T32" s="329" t="s">
        <v>181</v>
      </c>
      <c r="U32" s="328" t="s">
        <v>153</v>
      </c>
      <c r="V32" s="330">
        <v>57.88</v>
      </c>
      <c r="W32" s="326">
        <f>34*4</f>
        <v>136</v>
      </c>
    </row>
    <row r="33" spans="12:22" hidden="1">
      <c r="L33" s="327"/>
      <c r="M33" s="342" t="s">
        <v>182</v>
      </c>
      <c r="N33" s="328"/>
      <c r="O33" s="328"/>
      <c r="P33" s="359">
        <v>34</v>
      </c>
      <c r="Q33" s="328"/>
      <c r="R33" s="328"/>
      <c r="S33" s="328"/>
      <c r="T33" s="328"/>
      <c r="U33" s="328" t="s">
        <v>8</v>
      </c>
      <c r="V33" s="330">
        <v>97.45</v>
      </c>
    </row>
    <row r="34" spans="12:22" hidden="1">
      <c r="L34" s="343"/>
      <c r="M34" s="342" t="s">
        <v>172</v>
      </c>
      <c r="N34" s="344"/>
      <c r="O34" s="344"/>
      <c r="P34" s="347">
        <v>5.5</v>
      </c>
      <c r="Q34" s="344"/>
      <c r="R34" s="344"/>
      <c r="S34" s="344"/>
      <c r="T34" s="328" t="s">
        <v>160</v>
      </c>
      <c r="U34" s="328" t="s">
        <v>161</v>
      </c>
      <c r="V34" s="330">
        <v>-21.02</v>
      </c>
    </row>
    <row r="35" spans="12:22" ht="14" hidden="1" thickBot="1">
      <c r="L35" s="348"/>
      <c r="M35" s="349"/>
      <c r="N35" s="349"/>
      <c r="O35" s="349"/>
      <c r="P35" s="350">
        <f>SUM(P30:P34)</f>
        <v>3125.53</v>
      </c>
      <c r="Q35" s="349"/>
      <c r="R35" s="349"/>
      <c r="S35" s="349"/>
      <c r="T35" s="349"/>
      <c r="U35" s="328"/>
      <c r="V35" s="338">
        <f>SUM(V32:V34)</f>
        <v>134.31</v>
      </c>
    </row>
    <row r="36" spans="12:22" hidden="1">
      <c r="U36" s="328" t="s">
        <v>173</v>
      </c>
      <c r="V36" s="329">
        <f>SUM(V35,V31,V27)</f>
        <v>383.78999999999996</v>
      </c>
    </row>
    <row r="37" spans="12:22" hidden="1"/>
    <row r="38" spans="12:22" hidden="1"/>
    <row r="39" spans="12:22" hidden="1"/>
    <row r="40" spans="12:22" hidden="1">
      <c r="L40" s="616" t="s">
        <v>141</v>
      </c>
      <c r="M40" s="616"/>
      <c r="N40" s="616"/>
      <c r="O40" s="616"/>
      <c r="P40" s="616"/>
      <c r="Q40" s="616"/>
      <c r="R40" s="616"/>
      <c r="S40" s="616"/>
    </row>
    <row r="41" spans="12:22" hidden="1">
      <c r="L41" s="327"/>
      <c r="M41" s="612" t="s">
        <v>183</v>
      </c>
      <c r="N41" s="612"/>
      <c r="O41" s="612"/>
      <c r="P41" s="612"/>
      <c r="Q41" s="612"/>
      <c r="R41" s="612"/>
      <c r="S41" s="612"/>
      <c r="T41" s="612"/>
      <c r="U41" s="612"/>
      <c r="V41" s="613"/>
    </row>
    <row r="42" spans="12:22" hidden="1">
      <c r="L42" s="327"/>
      <c r="M42" s="328"/>
      <c r="N42" s="328"/>
      <c r="O42" s="328"/>
      <c r="P42" s="329" t="s">
        <v>184</v>
      </c>
      <c r="Q42" s="328"/>
      <c r="R42" s="329" t="s">
        <v>144</v>
      </c>
      <c r="S42" s="328"/>
      <c r="T42" s="328"/>
      <c r="U42" s="328"/>
      <c r="V42" s="330"/>
    </row>
    <row r="43" spans="12:22" hidden="1">
      <c r="L43" s="327"/>
      <c r="M43" s="329" t="s">
        <v>145</v>
      </c>
      <c r="N43" s="328"/>
      <c r="O43" s="328"/>
      <c r="P43" s="328">
        <v>4165.26</v>
      </c>
      <c r="Q43" s="328" t="s">
        <v>146</v>
      </c>
      <c r="R43" s="328">
        <v>5267.5</v>
      </c>
      <c r="S43" s="328"/>
      <c r="T43" s="331" t="s">
        <v>147</v>
      </c>
      <c r="U43" s="332"/>
      <c r="V43" s="330"/>
    </row>
    <row r="44" spans="12:22" hidden="1">
      <c r="L44" s="327"/>
      <c r="M44" s="328" t="s">
        <v>185</v>
      </c>
      <c r="N44" s="328"/>
      <c r="O44" s="328" t="s">
        <v>151</v>
      </c>
      <c r="P44" s="328">
        <v>6.76</v>
      </c>
      <c r="Q44" s="328" t="s">
        <v>150</v>
      </c>
      <c r="R44" s="333">
        <v>118.05</v>
      </c>
      <c r="S44" s="328"/>
      <c r="T44" s="329" t="s">
        <v>186</v>
      </c>
      <c r="U44" s="328" t="s">
        <v>153</v>
      </c>
      <c r="V44" s="330">
        <v>57.87</v>
      </c>
    </row>
    <row r="45" spans="12:22" hidden="1">
      <c r="L45" s="334" t="s">
        <v>157</v>
      </c>
      <c r="M45" s="329" t="s">
        <v>158</v>
      </c>
      <c r="N45" s="328"/>
      <c r="O45" s="328" t="s">
        <v>151</v>
      </c>
      <c r="P45" s="328">
        <v>496.13</v>
      </c>
      <c r="Q45" s="328"/>
      <c r="R45" s="329">
        <f>SUM(R43:R44)</f>
        <v>5385.55</v>
      </c>
      <c r="S45" s="328"/>
      <c r="T45" s="328"/>
      <c r="U45" s="328" t="s">
        <v>8</v>
      </c>
      <c r="V45" s="330">
        <v>97.46</v>
      </c>
    </row>
    <row r="46" spans="12:22" hidden="1">
      <c r="L46" s="327"/>
      <c r="M46" s="328"/>
      <c r="N46" s="328"/>
      <c r="O46" s="328"/>
      <c r="P46" s="329">
        <f>+P43-P45+P44</f>
        <v>3675.8900000000003</v>
      </c>
      <c r="Q46" s="328" t="s">
        <v>159</v>
      </c>
      <c r="R46" s="328">
        <v>430</v>
      </c>
      <c r="S46" s="328"/>
      <c r="T46" s="328" t="s">
        <v>160</v>
      </c>
      <c r="U46" s="328" t="s">
        <v>161</v>
      </c>
      <c r="V46" s="330">
        <v>-21.9</v>
      </c>
    </row>
    <row r="47" spans="12:22" hidden="1">
      <c r="L47" s="334" t="s">
        <v>162</v>
      </c>
      <c r="M47" s="329" t="s">
        <v>178</v>
      </c>
      <c r="N47" s="328"/>
      <c r="O47" s="328" t="s">
        <v>146</v>
      </c>
      <c r="P47" s="328">
        <f>V56</f>
        <v>392.78</v>
      </c>
      <c r="Q47" s="328"/>
      <c r="R47" s="328"/>
      <c r="S47" s="328"/>
      <c r="T47" s="328"/>
      <c r="U47" s="328"/>
      <c r="V47" s="338">
        <f>SUM(V44:V46)</f>
        <v>133.42999999999998</v>
      </c>
    </row>
    <row r="48" spans="12:22" hidden="1">
      <c r="L48" s="327"/>
      <c r="M48" s="354"/>
      <c r="N48" s="360"/>
      <c r="O48" s="328"/>
      <c r="P48" s="328"/>
      <c r="Q48" s="328"/>
      <c r="R48" s="329">
        <f>+R45-R46</f>
        <v>4955.55</v>
      </c>
      <c r="S48" s="328">
        <f>P46/R48*10</f>
        <v>7.4177235624703624</v>
      </c>
      <c r="T48" s="329" t="s">
        <v>187</v>
      </c>
      <c r="U48" s="328" t="s">
        <v>153</v>
      </c>
      <c r="V48" s="330">
        <v>53.45</v>
      </c>
    </row>
    <row r="49" spans="12:22" ht="14" hidden="1">
      <c r="L49" s="327" t="s">
        <v>160</v>
      </c>
      <c r="M49" s="356" t="s">
        <v>180</v>
      </c>
      <c r="N49" s="360"/>
      <c r="O49" s="328"/>
      <c r="P49" s="358">
        <v>182.03</v>
      </c>
      <c r="Q49" s="328"/>
      <c r="R49" s="328"/>
      <c r="S49" s="328"/>
      <c r="T49" s="328"/>
      <c r="U49" s="328" t="s">
        <v>8</v>
      </c>
      <c r="V49" s="330">
        <v>93.91</v>
      </c>
    </row>
    <row r="50" spans="12:22" hidden="1">
      <c r="L50" s="327"/>
      <c r="M50" s="328"/>
      <c r="N50" s="328"/>
      <c r="O50" s="328"/>
      <c r="P50" s="329">
        <f>+P46-P47-P49</f>
        <v>3101.0800000000004</v>
      </c>
      <c r="Q50" s="328"/>
      <c r="R50" s="328"/>
      <c r="S50" s="328"/>
      <c r="T50" s="328" t="s">
        <v>160</v>
      </c>
      <c r="U50" s="328" t="s">
        <v>161</v>
      </c>
      <c r="V50" s="330">
        <v>-18.11</v>
      </c>
    </row>
    <row r="51" spans="12:22" hidden="1">
      <c r="L51" s="327"/>
      <c r="M51" s="328" t="s">
        <v>167</v>
      </c>
      <c r="N51" s="328"/>
      <c r="O51" s="328"/>
      <c r="P51" s="335">
        <v>10</v>
      </c>
      <c r="Q51" s="328"/>
      <c r="R51" s="328"/>
      <c r="S51" s="328"/>
      <c r="T51" s="328"/>
      <c r="U51" s="328"/>
      <c r="V51" s="338">
        <f>SUM(V48:V50)</f>
        <v>129.25</v>
      </c>
    </row>
    <row r="52" spans="12:22" hidden="1">
      <c r="L52" s="327"/>
      <c r="M52" s="328" t="s">
        <v>168</v>
      </c>
      <c r="N52" s="328"/>
      <c r="O52" s="333"/>
      <c r="P52" s="333">
        <v>12.27</v>
      </c>
      <c r="Q52" s="341">
        <f>+P50+P51+P52</f>
        <v>3123.3500000000004</v>
      </c>
      <c r="R52" s="328"/>
      <c r="S52" s="328"/>
      <c r="T52" s="329" t="s">
        <v>188</v>
      </c>
      <c r="U52" s="328" t="s">
        <v>153</v>
      </c>
      <c r="V52" s="330">
        <v>52.54</v>
      </c>
    </row>
    <row r="53" spans="12:22" hidden="1">
      <c r="L53" s="327"/>
      <c r="M53" s="342" t="s">
        <v>182</v>
      </c>
      <c r="N53" s="328"/>
      <c r="O53" s="328"/>
      <c r="P53" s="359">
        <v>34</v>
      </c>
      <c r="Q53" s="328"/>
      <c r="R53" s="328"/>
      <c r="S53" s="328"/>
      <c r="T53" s="328"/>
      <c r="U53" s="328" t="s">
        <v>8</v>
      </c>
      <c r="V53" s="330">
        <v>91.04</v>
      </c>
    </row>
    <row r="54" spans="12:22" hidden="1">
      <c r="L54" s="343"/>
      <c r="M54" s="342" t="s">
        <v>172</v>
      </c>
      <c r="N54" s="344"/>
      <c r="O54" s="344"/>
      <c r="P54" s="347">
        <v>5.5</v>
      </c>
      <c r="Q54" s="344"/>
      <c r="R54" s="344"/>
      <c r="S54" s="344"/>
      <c r="T54" s="328" t="s">
        <v>160</v>
      </c>
      <c r="U54" s="328" t="s">
        <v>161</v>
      </c>
      <c r="V54" s="330">
        <v>-13.48</v>
      </c>
    </row>
    <row r="55" spans="12:22" ht="14" hidden="1" thickBot="1">
      <c r="L55" s="348"/>
      <c r="M55" s="349"/>
      <c r="N55" s="349"/>
      <c r="O55" s="349"/>
      <c r="P55" s="350">
        <f>SUM(P50:P54)</f>
        <v>3162.8500000000004</v>
      </c>
      <c r="Q55" s="349"/>
      <c r="R55" s="349"/>
      <c r="S55" s="349"/>
      <c r="T55" s="349"/>
      <c r="U55" s="328"/>
      <c r="V55" s="338">
        <f>SUM(V52:V54)</f>
        <v>130.10000000000002</v>
      </c>
    </row>
    <row r="56" spans="12:22" hidden="1">
      <c r="U56" s="328" t="s">
        <v>173</v>
      </c>
      <c r="V56" s="329">
        <f>SUM(V55,V51,V47)</f>
        <v>392.78</v>
      </c>
    </row>
    <row r="57" spans="12:22" hidden="1">
      <c r="P57" s="326">
        <f>508.75-P29</f>
        <v>182.02999999999997</v>
      </c>
    </row>
  </sheetData>
  <mergeCells count="11">
    <mergeCell ref="X4:Z4"/>
    <mergeCell ref="B10:C11"/>
    <mergeCell ref="M10:N11"/>
    <mergeCell ref="L20:S20"/>
    <mergeCell ref="M21:V21"/>
    <mergeCell ref="M41:V41"/>
    <mergeCell ref="A1:H1"/>
    <mergeCell ref="L1:S1"/>
    <mergeCell ref="B2:K2"/>
    <mergeCell ref="M2:V2"/>
    <mergeCell ref="L40:S40"/>
  </mergeCells>
  <pageMargins left="0.70866141732283472" right="0.70866141732283472" top="0.74803149606299213" bottom="0.74803149606299213" header="0.31496062992125984" footer="0.31496062992125984"/>
  <pageSetup paperSize="9" scale="99" orientation="landscape" verticalDpi="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AA31"/>
  <sheetViews>
    <sheetView zoomScale="70" zoomScaleNormal="70" workbookViewId="0">
      <selection activeCell="P9" sqref="P9"/>
    </sheetView>
  </sheetViews>
  <sheetFormatPr baseColWidth="10" defaultColWidth="9.1640625" defaultRowHeight="23.25" customHeight="1"/>
  <cols>
    <col min="1" max="1" width="57.1640625" style="365" bestFit="1" customWidth="1"/>
    <col min="2" max="2" width="13.6640625" style="365" bestFit="1" customWidth="1"/>
    <col min="3" max="7" width="18.33203125" style="365" customWidth="1"/>
    <col min="8" max="11" width="18.33203125" style="365" bestFit="1" customWidth="1"/>
    <col min="12" max="12" width="18.33203125" style="365" customWidth="1"/>
    <col min="13" max="13" width="12.33203125" style="365" bestFit="1" customWidth="1"/>
    <col min="14" max="14" width="10.83203125" style="365" bestFit="1" customWidth="1"/>
    <col min="15" max="15" width="12.6640625" style="365" customWidth="1"/>
    <col min="16" max="16" width="10.5" style="365" customWidth="1"/>
    <col min="17" max="17" width="13.5" style="365" bestFit="1" customWidth="1"/>
    <col min="18" max="18" width="12" style="365" bestFit="1" customWidth="1"/>
    <col min="19" max="21" width="11.33203125" style="365" bestFit="1" customWidth="1"/>
    <col min="22" max="22" width="11.83203125" style="365" bestFit="1" customWidth="1"/>
    <col min="23" max="23" width="14.83203125" style="365" bestFit="1" customWidth="1"/>
    <col min="24" max="24" width="11.33203125" style="365" bestFit="1" customWidth="1"/>
    <col min="25" max="25" width="11.1640625" style="365" bestFit="1" customWidth="1"/>
    <col min="26" max="16384" width="9.1640625" style="365"/>
  </cols>
  <sheetData>
    <row r="1" spans="1:25" ht="23.25" customHeight="1">
      <c r="A1" s="624" t="s">
        <v>191</v>
      </c>
      <c r="B1" s="624"/>
      <c r="C1" s="364"/>
      <c r="D1" s="364"/>
      <c r="E1" s="364"/>
      <c r="F1" s="364"/>
      <c r="G1" s="364"/>
      <c r="H1" s="364"/>
      <c r="I1" s="364"/>
      <c r="J1" s="364"/>
      <c r="K1" s="364"/>
      <c r="L1" s="364"/>
      <c r="M1" s="364"/>
      <c r="N1" s="364"/>
    </row>
    <row r="2" spans="1:25" ht="23.25" customHeight="1">
      <c r="A2" s="625" t="s">
        <v>192</v>
      </c>
      <c r="B2" s="625"/>
      <c r="C2" s="366"/>
      <c r="D2" s="366"/>
      <c r="E2" s="366"/>
      <c r="F2" s="366"/>
      <c r="G2" s="366"/>
      <c r="H2" s="366"/>
      <c r="I2" s="366"/>
      <c r="J2" s="366"/>
      <c r="K2" s="366"/>
      <c r="L2" s="366"/>
      <c r="M2" s="366"/>
      <c r="N2" s="366"/>
    </row>
    <row r="3" spans="1:25" ht="23.25" customHeight="1">
      <c r="A3" s="626" t="s">
        <v>193</v>
      </c>
      <c r="B3" s="626"/>
      <c r="C3" s="626"/>
      <c r="D3" s="626"/>
      <c r="E3" s="626"/>
      <c r="F3" s="626"/>
      <c r="G3" s="626"/>
      <c r="H3" s="626"/>
      <c r="I3" s="626"/>
      <c r="J3" s="626"/>
      <c r="K3" s="367"/>
      <c r="L3" s="367"/>
      <c r="M3" s="367"/>
      <c r="N3" s="367"/>
    </row>
    <row r="4" spans="1:25" ht="23.25" customHeight="1">
      <c r="A4" s="368" t="str">
        <f>+[6]Bonds!A4</f>
        <v>Name of State: Gujarat</v>
      </c>
      <c r="B4" s="369"/>
    </row>
    <row r="5" spans="1:25" ht="23.25" customHeight="1">
      <c r="A5" s="370" t="s">
        <v>194</v>
      </c>
      <c r="B5" s="371"/>
      <c r="C5" s="369"/>
      <c r="D5" s="369"/>
      <c r="E5" s="369"/>
      <c r="F5" s="369"/>
      <c r="G5" s="369"/>
      <c r="H5" s="369"/>
      <c r="I5" s="369"/>
      <c r="J5" s="369"/>
      <c r="K5" s="369"/>
      <c r="L5" s="369"/>
      <c r="M5" s="369"/>
      <c r="N5" s="369"/>
    </row>
    <row r="6" spans="1:25" ht="23.25" customHeight="1">
      <c r="A6" s="368"/>
      <c r="B6" s="369"/>
      <c r="K6" s="372"/>
    </row>
    <row r="7" spans="1:25" ht="12" customHeight="1">
      <c r="C7" s="373"/>
      <c r="D7" s="373"/>
      <c r="E7" s="373"/>
      <c r="F7" s="373"/>
      <c r="G7" s="373"/>
      <c r="H7" s="373"/>
      <c r="I7" s="373"/>
      <c r="J7" s="373"/>
      <c r="K7" s="373"/>
      <c r="L7" s="373"/>
      <c r="M7" s="373"/>
      <c r="N7" s="373"/>
    </row>
    <row r="8" spans="1:25" ht="18.5" customHeight="1">
      <c r="A8" s="627" t="s">
        <v>195</v>
      </c>
      <c r="B8" s="627"/>
      <c r="C8" s="627"/>
      <c r="D8" s="627"/>
      <c r="E8" s="627"/>
      <c r="F8" s="627"/>
      <c r="G8" s="627"/>
      <c r="H8" s="627"/>
      <c r="I8" s="374"/>
      <c r="J8" s="374"/>
      <c r="K8" s="374"/>
      <c r="L8" s="374"/>
      <c r="M8" s="374"/>
      <c r="N8" s="374"/>
    </row>
    <row r="9" spans="1:25" ht="23.25" customHeight="1">
      <c r="A9" s="375"/>
      <c r="B9" s="375"/>
      <c r="C9" s="628" t="s">
        <v>384</v>
      </c>
      <c r="D9" s="628"/>
      <c r="E9" s="628"/>
      <c r="F9" s="628"/>
      <c r="G9" s="377"/>
      <c r="H9" s="628" t="s">
        <v>219</v>
      </c>
      <c r="I9" s="628"/>
      <c r="J9" s="628"/>
      <c r="K9" s="628"/>
      <c r="L9" s="376"/>
      <c r="M9" s="378"/>
      <c r="N9" s="378"/>
    </row>
    <row r="10" spans="1:25" ht="20">
      <c r="A10" s="379" t="s">
        <v>196</v>
      </c>
      <c r="B10" s="380" t="s">
        <v>379</v>
      </c>
      <c r="C10" s="380" t="s">
        <v>197</v>
      </c>
      <c r="D10" s="380" t="s">
        <v>198</v>
      </c>
      <c r="E10" s="380" t="s">
        <v>199</v>
      </c>
      <c r="F10" s="380" t="s">
        <v>200</v>
      </c>
      <c r="G10" s="380" t="s">
        <v>201</v>
      </c>
      <c r="H10" s="380" t="s">
        <v>197</v>
      </c>
      <c r="I10" s="380" t="s">
        <v>198</v>
      </c>
      <c r="J10" s="380" t="s">
        <v>199</v>
      </c>
      <c r="K10" s="380" t="s">
        <v>200</v>
      </c>
      <c r="L10" s="380" t="s">
        <v>201</v>
      </c>
      <c r="M10" s="381"/>
      <c r="N10" s="381"/>
      <c r="Q10" s="382"/>
    </row>
    <row r="11" spans="1:25" ht="23.25" customHeight="1">
      <c r="A11" s="380"/>
      <c r="B11" s="383" t="s">
        <v>203</v>
      </c>
      <c r="C11" s="383"/>
      <c r="D11" s="383"/>
      <c r="E11" s="383"/>
      <c r="F11" s="383"/>
      <c r="G11" s="383"/>
      <c r="H11" s="383" t="s">
        <v>202</v>
      </c>
      <c r="I11" s="383" t="s">
        <v>202</v>
      </c>
      <c r="J11" s="383" t="s">
        <v>202</v>
      </c>
      <c r="K11" s="383" t="s">
        <v>202</v>
      </c>
      <c r="L11" s="383" t="s">
        <v>221</v>
      </c>
      <c r="M11" s="384" t="s">
        <v>204</v>
      </c>
      <c r="N11" s="383" t="s">
        <v>205</v>
      </c>
      <c r="O11" s="385" t="s">
        <v>201</v>
      </c>
      <c r="P11" s="383" t="s">
        <v>203</v>
      </c>
      <c r="Q11" s="382"/>
    </row>
    <row r="12" spans="1:25" ht="23.25" customHeight="1">
      <c r="A12" s="386" t="s">
        <v>206</v>
      </c>
      <c r="B12" s="383"/>
      <c r="C12" s="375"/>
      <c r="D12" s="375"/>
      <c r="E12" s="375"/>
      <c r="F12" s="375"/>
      <c r="G12" s="375"/>
      <c r="H12" s="375"/>
      <c r="I12" s="375"/>
      <c r="J12" s="375"/>
      <c r="K12" s="375"/>
      <c r="L12" s="375"/>
      <c r="Q12" s="387" t="s">
        <v>207</v>
      </c>
      <c r="R12" s="375"/>
      <c r="S12" s="375"/>
      <c r="T12" s="375"/>
      <c r="U12" s="375"/>
      <c r="V12" s="388" t="s">
        <v>208</v>
      </c>
      <c r="W12" s="388" t="s">
        <v>209</v>
      </c>
      <c r="X12" s="375"/>
    </row>
    <row r="13" spans="1:25" ht="23.25" customHeight="1">
      <c r="A13" s="389" t="s">
        <v>210</v>
      </c>
      <c r="B13" s="390">
        <f>13981.41+549.48</f>
        <v>14530.89</v>
      </c>
      <c r="C13" s="391">
        <f>+B13/4</f>
        <v>3632.7224999999999</v>
      </c>
      <c r="D13" s="391"/>
      <c r="E13" s="391"/>
      <c r="F13" s="391"/>
      <c r="G13" s="391">
        <f>SUM(C13:F13)</f>
        <v>3632.7224999999999</v>
      </c>
      <c r="H13" s="392"/>
      <c r="I13" s="392"/>
      <c r="J13" s="392"/>
      <c r="K13" s="392"/>
      <c r="L13" s="392"/>
      <c r="M13" s="393">
        <f>H13+I13+J13</f>
        <v>0</v>
      </c>
      <c r="N13" s="393">
        <f>L13-M13</f>
        <v>0</v>
      </c>
      <c r="O13" s="394">
        <f>'[7]1.Input - Income'!P12</f>
        <v>11625.63</v>
      </c>
      <c r="P13" s="394"/>
      <c r="Q13" s="387">
        <v>11269.93</v>
      </c>
      <c r="R13" s="395">
        <f>+$Q$13/4</f>
        <v>2817.4825000000001</v>
      </c>
      <c r="S13" s="395">
        <f t="shared" ref="S13:U13" si="0">+$Q$13/4</f>
        <v>2817.4825000000001</v>
      </c>
      <c r="T13" s="395">
        <f t="shared" si="0"/>
        <v>2817.4825000000001</v>
      </c>
      <c r="U13" s="395">
        <f t="shared" si="0"/>
        <v>2817.4825000000001</v>
      </c>
      <c r="V13" s="388">
        <f>1107713.75/100</f>
        <v>11077.137500000001</v>
      </c>
      <c r="W13" s="388">
        <f>1107713.75*1.1/100</f>
        <v>12184.85125</v>
      </c>
      <c r="X13" s="395">
        <f>+$W$13/4</f>
        <v>3046.2128124999999</v>
      </c>
    </row>
    <row r="14" spans="1:25" ht="23.25" customHeight="1">
      <c r="A14" s="389" t="s">
        <v>211</v>
      </c>
      <c r="B14" s="390">
        <f>87.91+256.7</f>
        <v>344.61</v>
      </c>
      <c r="C14" s="391">
        <f>+B14/4</f>
        <v>86.152500000000003</v>
      </c>
      <c r="D14" s="391"/>
      <c r="E14" s="391"/>
      <c r="F14" s="391"/>
      <c r="G14" s="391">
        <f>SUM(C14:F14)</f>
        <v>86.152500000000003</v>
      </c>
      <c r="H14" s="392"/>
      <c r="I14" s="392"/>
      <c r="J14" s="392"/>
      <c r="K14" s="392"/>
      <c r="L14" s="392"/>
      <c r="M14" s="393">
        <f>H14+I14+J14</f>
        <v>0</v>
      </c>
      <c r="N14" s="393">
        <f>L14-M14</f>
        <v>0</v>
      </c>
      <c r="O14" s="394">
        <f>'[7]1.Input - Income'!W13+'[7]1.Input - Income'!W14</f>
        <v>210.18</v>
      </c>
      <c r="P14" s="394"/>
      <c r="Q14" s="387">
        <f>+Q15-Q13</f>
        <v>336.14999999999964</v>
      </c>
      <c r="R14" s="395">
        <f>+$Q$14/4</f>
        <v>84.037499999999909</v>
      </c>
      <c r="S14" s="395">
        <f t="shared" ref="S14:U14" si="1">+$Q$14/4</f>
        <v>84.037499999999909</v>
      </c>
      <c r="T14" s="395">
        <f t="shared" si="1"/>
        <v>84.037499999999909</v>
      </c>
      <c r="U14" s="395">
        <f t="shared" si="1"/>
        <v>84.037499999999909</v>
      </c>
      <c r="V14" s="388">
        <f>179.08</f>
        <v>179.08</v>
      </c>
      <c r="W14" s="388">
        <f>179.08*1.1</f>
        <v>196.98800000000003</v>
      </c>
      <c r="X14" s="395">
        <f>+$W$14/4</f>
        <v>49.247000000000007</v>
      </c>
    </row>
    <row r="15" spans="1:25" ht="23.25" customHeight="1">
      <c r="A15" s="379" t="s">
        <v>212</v>
      </c>
      <c r="B15" s="396">
        <f t="shared" ref="B15:O15" si="2">SUM(B13:B14)</f>
        <v>14875.5</v>
      </c>
      <c r="C15" s="397">
        <f t="shared" si="2"/>
        <v>3718.875</v>
      </c>
      <c r="D15" s="397">
        <f t="shared" si="2"/>
        <v>0</v>
      </c>
      <c r="E15" s="397">
        <f t="shared" si="2"/>
        <v>0</v>
      </c>
      <c r="F15" s="397">
        <f t="shared" si="2"/>
        <v>0</v>
      </c>
      <c r="G15" s="397">
        <f t="shared" si="2"/>
        <v>3718.875</v>
      </c>
      <c r="H15" s="398">
        <f t="shared" si="2"/>
        <v>0</v>
      </c>
      <c r="I15" s="398">
        <f t="shared" si="2"/>
        <v>0</v>
      </c>
      <c r="J15" s="398">
        <f t="shared" si="2"/>
        <v>0</v>
      </c>
      <c r="K15" s="398">
        <f t="shared" si="2"/>
        <v>0</v>
      </c>
      <c r="L15" s="398">
        <f t="shared" si="2"/>
        <v>0</v>
      </c>
      <c r="M15" s="399">
        <f t="shared" si="2"/>
        <v>0</v>
      </c>
      <c r="N15" s="398">
        <f t="shared" si="2"/>
        <v>0</v>
      </c>
      <c r="O15" s="398">
        <f t="shared" si="2"/>
        <v>11835.81</v>
      </c>
      <c r="P15" s="394"/>
      <c r="Q15" s="387">
        <v>11606.08</v>
      </c>
      <c r="R15" s="400">
        <f>SUM(R13:R14)</f>
        <v>2901.52</v>
      </c>
      <c r="S15" s="400">
        <f t="shared" ref="S15:X15" si="3">SUM(S13:S14)</f>
        <v>2901.52</v>
      </c>
      <c r="T15" s="400">
        <f t="shared" si="3"/>
        <v>2901.52</v>
      </c>
      <c r="U15" s="400">
        <f t="shared" si="3"/>
        <v>2901.52</v>
      </c>
      <c r="V15" s="388">
        <f t="shared" si="3"/>
        <v>11256.217500000001</v>
      </c>
      <c r="W15" s="388">
        <f t="shared" si="3"/>
        <v>12381.839249999999</v>
      </c>
      <c r="X15" s="400">
        <f t="shared" si="3"/>
        <v>3095.4598124999998</v>
      </c>
      <c r="Y15" s="394"/>
    </row>
    <row r="16" spans="1:25" ht="23.25" customHeight="1">
      <c r="A16" s="379" t="s">
        <v>213</v>
      </c>
      <c r="B16" s="396"/>
      <c r="C16" s="395"/>
      <c r="D16" s="395"/>
      <c r="E16" s="395"/>
      <c r="F16" s="395"/>
      <c r="G16" s="395"/>
      <c r="H16" s="401"/>
      <c r="I16" s="401"/>
      <c r="J16" s="375"/>
      <c r="K16" s="375"/>
      <c r="L16" s="375"/>
      <c r="Q16" s="387"/>
      <c r="R16" s="395"/>
      <c r="S16" s="395"/>
      <c r="T16" s="395"/>
      <c r="U16" s="395"/>
      <c r="V16" s="388"/>
      <c r="W16" s="388"/>
      <c r="X16" s="395"/>
    </row>
    <row r="17" spans="1:27" ht="23.25" customHeight="1">
      <c r="A17" s="389" t="s">
        <v>214</v>
      </c>
      <c r="B17" s="390">
        <v>13655.17</v>
      </c>
      <c r="C17" s="391">
        <f>+B17/4</f>
        <v>3413.7925</v>
      </c>
      <c r="D17" s="391"/>
      <c r="E17" s="391"/>
      <c r="F17" s="391"/>
      <c r="G17" s="391">
        <f t="shared" ref="G17:G22" si="4">SUM(C17:F17)</f>
        <v>3413.7925</v>
      </c>
      <c r="H17" s="392"/>
      <c r="I17" s="392"/>
      <c r="J17" s="392"/>
      <c r="K17" s="392"/>
      <c r="L17" s="392"/>
      <c r="M17" s="393">
        <f>H17+I17+J17</f>
        <v>0</v>
      </c>
      <c r="N17" s="393">
        <f t="shared" ref="N17:N22" si="5">L17-M17</f>
        <v>0</v>
      </c>
      <c r="O17" s="394">
        <v>9803.23</v>
      </c>
      <c r="P17" s="394"/>
      <c r="Q17" s="387">
        <v>10690.6</v>
      </c>
      <c r="R17" s="395">
        <f>+$Q$17/4</f>
        <v>2672.65</v>
      </c>
      <c r="S17" s="395">
        <f t="shared" ref="S17:U17" si="6">+$Q$17/4</f>
        <v>2672.65</v>
      </c>
      <c r="T17" s="395">
        <f t="shared" si="6"/>
        <v>2672.65</v>
      </c>
      <c r="U17" s="395">
        <f t="shared" si="6"/>
        <v>2672.65</v>
      </c>
      <c r="V17" s="388">
        <f>10498.51</f>
        <v>10498.51</v>
      </c>
      <c r="W17" s="388">
        <f>10498.51*1.1</f>
        <v>11548.361000000001</v>
      </c>
      <c r="X17" s="395">
        <f>+$W$17/4</f>
        <v>2887.0902500000002</v>
      </c>
    </row>
    <row r="18" spans="1:27" ht="23.25" customHeight="1">
      <c r="A18" s="389" t="s">
        <v>83</v>
      </c>
      <c r="B18" s="390">
        <v>72</v>
      </c>
      <c r="C18" s="391">
        <f t="shared" ref="C18:C22" si="7">+B18/4</f>
        <v>18</v>
      </c>
      <c r="D18" s="391"/>
      <c r="E18" s="391"/>
      <c r="F18" s="391"/>
      <c r="G18" s="391"/>
      <c r="H18" s="392"/>
      <c r="I18" s="392"/>
      <c r="J18" s="392"/>
      <c r="K18" s="392"/>
      <c r="L18" s="392"/>
      <c r="M18" s="393"/>
      <c r="N18" s="393"/>
      <c r="O18" s="394"/>
      <c r="P18" s="394"/>
      <c r="Q18" s="387"/>
      <c r="R18" s="395"/>
      <c r="S18" s="395"/>
      <c r="T18" s="395"/>
      <c r="U18" s="395"/>
      <c r="V18" s="388"/>
      <c r="W18" s="388"/>
      <c r="X18" s="395"/>
    </row>
    <row r="19" spans="1:27" ht="23.25" customHeight="1">
      <c r="A19" s="389" t="s">
        <v>380</v>
      </c>
      <c r="B19" s="390">
        <v>574.72</v>
      </c>
      <c r="C19" s="391">
        <f t="shared" si="7"/>
        <v>143.68</v>
      </c>
      <c r="D19" s="391"/>
      <c r="E19" s="391"/>
      <c r="F19" s="391"/>
      <c r="G19" s="391"/>
      <c r="H19" s="392"/>
      <c r="I19" s="392"/>
      <c r="J19" s="392"/>
      <c r="K19" s="392"/>
      <c r="L19" s="392"/>
      <c r="M19" s="393"/>
      <c r="N19" s="393"/>
      <c r="O19" s="394"/>
      <c r="P19" s="394"/>
      <c r="Q19" s="387"/>
      <c r="R19" s="395"/>
      <c r="S19" s="395"/>
      <c r="T19" s="395"/>
      <c r="U19" s="395"/>
      <c r="V19" s="388"/>
      <c r="W19" s="388"/>
      <c r="X19" s="395"/>
    </row>
    <row r="20" spans="1:27" ht="23.25" customHeight="1">
      <c r="A20" s="389" t="s">
        <v>381</v>
      </c>
      <c r="B20" s="390">
        <v>105.09</v>
      </c>
      <c r="C20" s="391">
        <f t="shared" si="7"/>
        <v>26.272500000000001</v>
      </c>
      <c r="D20" s="391"/>
      <c r="E20" s="391"/>
      <c r="F20" s="391"/>
      <c r="G20" s="391">
        <f t="shared" si="4"/>
        <v>26.272500000000001</v>
      </c>
      <c r="H20" s="392"/>
      <c r="I20" s="392"/>
      <c r="J20" s="392"/>
      <c r="K20" s="392"/>
      <c r="L20" s="392"/>
      <c r="M20" s="393">
        <f>H20+I20+J20</f>
        <v>0</v>
      </c>
      <c r="N20" s="393">
        <f t="shared" si="5"/>
        <v>0</v>
      </c>
      <c r="O20" s="394">
        <v>280</v>
      </c>
      <c r="P20" s="394"/>
      <c r="Q20" s="387">
        <v>263.61</v>
      </c>
      <c r="R20" s="395">
        <f>+$Q$20/4</f>
        <v>65.902500000000003</v>
      </c>
      <c r="S20" s="395">
        <f t="shared" ref="S20:U20" si="8">+$Q$20/4</f>
        <v>65.902500000000003</v>
      </c>
      <c r="T20" s="395">
        <f t="shared" si="8"/>
        <v>65.902500000000003</v>
      </c>
      <c r="U20" s="395">
        <f t="shared" si="8"/>
        <v>65.902500000000003</v>
      </c>
      <c r="V20" s="388">
        <f>227.75</f>
        <v>227.75</v>
      </c>
      <c r="W20" s="388">
        <f>227.75*1.1</f>
        <v>250.52500000000003</v>
      </c>
      <c r="X20" s="395">
        <f>+$W$20/4</f>
        <v>62.631250000000009</v>
      </c>
    </row>
    <row r="21" spans="1:27" ht="23.25" customHeight="1">
      <c r="A21" s="389" t="s">
        <v>84</v>
      </c>
      <c r="B21" s="390">
        <v>365.47</v>
      </c>
      <c r="C21" s="391">
        <f t="shared" si="7"/>
        <v>91.367500000000007</v>
      </c>
      <c r="D21" s="391"/>
      <c r="E21" s="391"/>
      <c r="F21" s="391"/>
      <c r="G21" s="391">
        <f t="shared" si="4"/>
        <v>91.367500000000007</v>
      </c>
      <c r="H21" s="392"/>
      <c r="I21" s="392"/>
      <c r="J21" s="402"/>
      <c r="K21" s="392"/>
      <c r="L21" s="392"/>
      <c r="M21" s="393">
        <f>H21+I21+J21</f>
        <v>0</v>
      </c>
      <c r="N21" s="393">
        <f t="shared" si="5"/>
        <v>0</v>
      </c>
      <c r="O21" s="394">
        <v>86.53</v>
      </c>
      <c r="P21" s="394"/>
      <c r="Q21" s="387">
        <v>136.18</v>
      </c>
      <c r="R21" s="395">
        <f>+$Q$21/4</f>
        <v>34.045000000000002</v>
      </c>
      <c r="S21" s="395">
        <f t="shared" ref="S21:U21" si="9">+$Q$21/4</f>
        <v>34.045000000000002</v>
      </c>
      <c r="T21" s="395">
        <f t="shared" si="9"/>
        <v>34.045000000000002</v>
      </c>
      <c r="U21" s="395">
        <f t="shared" si="9"/>
        <v>34.045000000000002</v>
      </c>
      <c r="V21" s="388">
        <v>103.39</v>
      </c>
      <c r="W21" s="388">
        <v>103.39</v>
      </c>
      <c r="X21" s="395">
        <f>+$W$21/4</f>
        <v>25.8475</v>
      </c>
      <c r="Y21" s="365">
        <f>+W21*1.1</f>
        <v>113.72900000000001</v>
      </c>
    </row>
    <row r="22" spans="1:27" ht="23.25" customHeight="1">
      <c r="A22" s="389" t="s">
        <v>382</v>
      </c>
      <c r="B22" s="390">
        <v>112.68</v>
      </c>
      <c r="C22" s="391">
        <f t="shared" si="7"/>
        <v>28.17</v>
      </c>
      <c r="D22" s="391"/>
      <c r="E22" s="391"/>
      <c r="F22" s="391"/>
      <c r="G22" s="391">
        <f t="shared" si="4"/>
        <v>28.17</v>
      </c>
      <c r="H22" s="392"/>
      <c r="I22" s="392"/>
      <c r="J22" s="402"/>
      <c r="K22" s="392"/>
      <c r="L22" s="392"/>
      <c r="M22" s="393">
        <f>H22+I22+J22</f>
        <v>0</v>
      </c>
      <c r="N22" s="393">
        <f t="shared" si="5"/>
        <v>0</v>
      </c>
      <c r="O22" s="394">
        <f>88.56+417.68+45</f>
        <v>551.24</v>
      </c>
      <c r="P22" s="394"/>
      <c r="Q22" s="387">
        <f>11540.79-SUM(Q17:Q21)</f>
        <v>450.39999999999964</v>
      </c>
      <c r="R22" s="395">
        <f>+$Q$22/4</f>
        <v>112.59999999999991</v>
      </c>
      <c r="S22" s="395">
        <f t="shared" ref="S22:U22" si="10">+$Q$22/4</f>
        <v>112.59999999999991</v>
      </c>
      <c r="T22" s="395">
        <f t="shared" si="10"/>
        <v>112.59999999999991</v>
      </c>
      <c r="U22" s="395">
        <f t="shared" si="10"/>
        <v>112.59999999999991</v>
      </c>
      <c r="V22" s="388">
        <f>312.95+137.96-113.11+0.02</f>
        <v>337.81999999999994</v>
      </c>
      <c r="W22" s="388">
        <f>337.82*1.18</f>
        <v>398.62759999999997</v>
      </c>
      <c r="X22" s="395">
        <f>+$W$22/4</f>
        <v>99.656899999999993</v>
      </c>
      <c r="Y22" s="365">
        <f>+Y21/4</f>
        <v>28.432250000000003</v>
      </c>
      <c r="AA22" s="394"/>
    </row>
    <row r="23" spans="1:27" ht="23.25" customHeight="1">
      <c r="A23" s="379" t="s">
        <v>215</v>
      </c>
      <c r="B23" s="396">
        <f t="shared" ref="B23:O23" si="11">SUM(B17:B22)</f>
        <v>14885.13</v>
      </c>
      <c r="C23" s="403">
        <f t="shared" si="11"/>
        <v>3721.2824999999998</v>
      </c>
      <c r="D23" s="403">
        <f t="shared" si="11"/>
        <v>0</v>
      </c>
      <c r="E23" s="403">
        <f t="shared" si="11"/>
        <v>0</v>
      </c>
      <c r="F23" s="403">
        <f t="shared" si="11"/>
        <v>0</v>
      </c>
      <c r="G23" s="403">
        <f t="shared" si="11"/>
        <v>3559.6025</v>
      </c>
      <c r="H23" s="404">
        <f t="shared" si="11"/>
        <v>0</v>
      </c>
      <c r="I23" s="404">
        <f t="shared" si="11"/>
        <v>0</v>
      </c>
      <c r="J23" s="404">
        <f t="shared" si="11"/>
        <v>0</v>
      </c>
      <c r="K23" s="404">
        <f t="shared" si="11"/>
        <v>0</v>
      </c>
      <c r="L23" s="404">
        <f t="shared" si="11"/>
        <v>0</v>
      </c>
      <c r="M23" s="393">
        <f t="shared" si="11"/>
        <v>0</v>
      </c>
      <c r="N23" s="393">
        <f t="shared" si="11"/>
        <v>0</v>
      </c>
      <c r="O23" s="394">
        <f t="shared" si="11"/>
        <v>10721</v>
      </c>
      <c r="P23" s="394"/>
      <c r="Q23" s="387">
        <f t="shared" ref="Q23:X23" si="12">SUM(Q17:Q22)</f>
        <v>11540.79</v>
      </c>
      <c r="R23" s="400">
        <f t="shared" si="12"/>
        <v>2885.1975000000002</v>
      </c>
      <c r="S23" s="400">
        <f t="shared" si="12"/>
        <v>2885.1975000000002</v>
      </c>
      <c r="T23" s="400">
        <f t="shared" si="12"/>
        <v>2885.1975000000002</v>
      </c>
      <c r="U23" s="400">
        <f t="shared" si="12"/>
        <v>2885.1975000000002</v>
      </c>
      <c r="V23" s="388">
        <f t="shared" si="12"/>
        <v>11167.47</v>
      </c>
      <c r="W23" s="388">
        <f t="shared" si="12"/>
        <v>12300.9036</v>
      </c>
      <c r="X23" s="400">
        <f t="shared" si="12"/>
        <v>3075.2258999999999</v>
      </c>
    </row>
    <row r="24" spans="1:27" ht="23.25" customHeight="1">
      <c r="A24" s="379" t="s">
        <v>216</v>
      </c>
      <c r="B24" s="396">
        <f>+B15-B23</f>
        <v>-9.6299999999991996</v>
      </c>
      <c r="C24" s="403">
        <f>+C15-C23</f>
        <v>-2.4074999999997999</v>
      </c>
      <c r="D24" s="403">
        <f>+D15-D23</f>
        <v>0</v>
      </c>
      <c r="E24" s="403">
        <f>+E15-E23</f>
        <v>0</v>
      </c>
      <c r="F24" s="391"/>
      <c r="G24" s="391">
        <f t="shared" ref="G24:G26" si="13">SUM(C24:F24)</f>
        <v>-2.4074999999997999</v>
      </c>
      <c r="H24" s="392">
        <f>+H15-H23</f>
        <v>0</v>
      </c>
      <c r="I24" s="392">
        <f>+I15-I23</f>
        <v>0</v>
      </c>
      <c r="J24" s="392">
        <f>+J15-J23</f>
        <v>0</v>
      </c>
      <c r="K24" s="392">
        <f>+K15-K23</f>
        <v>0</v>
      </c>
      <c r="L24" s="392">
        <f>+L15-L23</f>
        <v>0</v>
      </c>
      <c r="M24" s="393">
        <f>M15-M23</f>
        <v>0</v>
      </c>
      <c r="N24" s="393">
        <f>N15-N23</f>
        <v>0</v>
      </c>
      <c r="O24" s="394">
        <f>O15-O23</f>
        <v>1114.8099999999995</v>
      </c>
      <c r="P24" s="394"/>
      <c r="Q24" s="387">
        <f t="shared" ref="Q24:X24" si="14">+Q15-Q23</f>
        <v>65.289999999999054</v>
      </c>
      <c r="R24" s="395">
        <f t="shared" si="14"/>
        <v>16.322499999999764</v>
      </c>
      <c r="S24" s="395">
        <f t="shared" si="14"/>
        <v>16.322499999999764</v>
      </c>
      <c r="T24" s="395">
        <f t="shared" si="14"/>
        <v>16.322499999999764</v>
      </c>
      <c r="U24" s="395">
        <f t="shared" si="14"/>
        <v>16.322499999999764</v>
      </c>
      <c r="V24" s="388">
        <f t="shared" si="14"/>
        <v>88.74750000000131</v>
      </c>
      <c r="W24" s="388">
        <f t="shared" si="14"/>
        <v>80.935649999999441</v>
      </c>
      <c r="X24" s="395">
        <f t="shared" si="14"/>
        <v>20.23391249999986</v>
      </c>
    </row>
    <row r="25" spans="1:27" ht="23.25" customHeight="1">
      <c r="A25" s="389" t="s">
        <v>383</v>
      </c>
      <c r="B25" s="390">
        <v>120.93</v>
      </c>
      <c r="C25" s="391">
        <f>+C20</f>
        <v>26.272500000000001</v>
      </c>
      <c r="D25" s="391">
        <f>+D20</f>
        <v>0</v>
      </c>
      <c r="E25" s="391">
        <f>+E20</f>
        <v>0</v>
      </c>
      <c r="F25" s="391"/>
      <c r="G25" s="391">
        <f t="shared" si="13"/>
        <v>26.272500000000001</v>
      </c>
      <c r="H25" s="392">
        <f>+H20</f>
        <v>0</v>
      </c>
      <c r="I25" s="392">
        <f>+I20</f>
        <v>0</v>
      </c>
      <c r="J25" s="392">
        <f>+J20</f>
        <v>0</v>
      </c>
      <c r="K25" s="392">
        <f>+K20</f>
        <v>0</v>
      </c>
      <c r="L25" s="392">
        <f>+L20</f>
        <v>0</v>
      </c>
      <c r="M25" s="393"/>
      <c r="N25" s="393"/>
      <c r="O25" s="394" t="e">
        <f>+#REF!+H25+J25+K25</f>
        <v>#REF!</v>
      </c>
      <c r="P25" s="394"/>
      <c r="Q25" s="394"/>
      <c r="R25" s="365" t="s">
        <v>217</v>
      </c>
      <c r="V25" s="365">
        <f>23.5+2.12-1</f>
        <v>24.62</v>
      </c>
    </row>
    <row r="26" spans="1:27" ht="23.25" customHeight="1">
      <c r="A26" s="389" t="s">
        <v>218</v>
      </c>
      <c r="B26" s="390">
        <f>+B24+B25</f>
        <v>111.30000000000081</v>
      </c>
      <c r="C26" s="405">
        <f>+C24+C25</f>
        <v>23.865000000000201</v>
      </c>
      <c r="D26" s="405">
        <f t="shared" ref="D26:E26" si="15">+D24+D25</f>
        <v>0</v>
      </c>
      <c r="E26" s="405">
        <f t="shared" si="15"/>
        <v>0</v>
      </c>
      <c r="F26" s="391"/>
      <c r="G26" s="391">
        <f t="shared" si="13"/>
        <v>23.865000000000201</v>
      </c>
      <c r="H26" s="392">
        <f>+H21</f>
        <v>0</v>
      </c>
      <c r="I26" s="392">
        <f>I24+I25</f>
        <v>0</v>
      </c>
      <c r="J26" s="392">
        <f t="shared" ref="J26:L26" si="16">J24+J25</f>
        <v>0</v>
      </c>
      <c r="K26" s="392">
        <f t="shared" si="16"/>
        <v>0</v>
      </c>
      <c r="L26" s="392">
        <f t="shared" si="16"/>
        <v>0</v>
      </c>
      <c r="M26" s="393"/>
      <c r="N26" s="393"/>
      <c r="O26" s="394" t="e">
        <f>+#REF!+H26+J26+K26</f>
        <v>#REF!</v>
      </c>
      <c r="P26" s="394"/>
      <c r="Q26" s="394"/>
      <c r="V26" s="394">
        <f>V24-V25</f>
        <v>64.127500000001305</v>
      </c>
    </row>
    <row r="27" spans="1:27" ht="23.25" customHeight="1">
      <c r="H27" s="394"/>
      <c r="I27" s="394"/>
      <c r="J27" s="394"/>
      <c r="K27" s="394"/>
      <c r="L27" s="394"/>
      <c r="M27" s="394"/>
      <c r="N27" s="394"/>
      <c r="O27" s="394">
        <f>+O24-87</f>
        <v>1027.8099999999995</v>
      </c>
      <c r="P27" s="394"/>
    </row>
    <row r="28" spans="1:27" ht="23.25" customHeight="1">
      <c r="B28" s="394"/>
    </row>
    <row r="29" spans="1:27" ht="23.25" customHeight="1">
      <c r="N29" s="365">
        <v>138.91</v>
      </c>
    </row>
    <row r="30" spans="1:27" ht="23.25" customHeight="1">
      <c r="M30" s="365">
        <v>85</v>
      </c>
    </row>
    <row r="31" spans="1:27" ht="23.25" customHeight="1">
      <c r="M31" s="365">
        <f>+M30/4</f>
        <v>21.25</v>
      </c>
    </row>
  </sheetData>
  <mergeCells count="6">
    <mergeCell ref="A1:B1"/>
    <mergeCell ref="A2:B2"/>
    <mergeCell ref="A3:J3"/>
    <mergeCell ref="A8:H8"/>
    <mergeCell ref="C9:F9"/>
    <mergeCell ref="H9:K9"/>
  </mergeCells>
  <dataValidations count="1">
    <dataValidation type="list" allowBlank="1" showInputMessage="1" showErrorMessage="1" sqref="Z16" xr:uid="{00000000-0002-0000-0400-000000000000}">
      <formula1>$Z$14:$Z$15</formula1>
    </dataValidation>
  </dataValidations>
  <pageMargins left="0.51181102362204722" right="0.31496062992125984" top="0.35433070866141736" bottom="0.35433070866141736" header="0.31496062992125984" footer="0.31496062992125984"/>
  <pageSetup paperSize="9" scale="51" orientation="landscape"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4"/>
    <pageSetUpPr fitToPage="1"/>
  </sheetPr>
  <dimension ref="A1:ED702"/>
  <sheetViews>
    <sheetView zoomScaleSheetLayoutView="75" workbookViewId="0">
      <pane ySplit="9" topLeftCell="A10" activePane="bottomLeft" state="frozen"/>
      <selection activeCell="P9" sqref="P9"/>
      <selection pane="bottomLeft" activeCell="P9" sqref="P9"/>
    </sheetView>
  </sheetViews>
  <sheetFormatPr baseColWidth="10" defaultColWidth="8.83203125" defaultRowHeight="13"/>
  <cols>
    <col min="1" max="1" width="5.1640625" customWidth="1"/>
    <col min="2" max="2" width="12.5" customWidth="1"/>
    <col min="3" max="3" width="11" customWidth="1"/>
    <col min="4" max="4" width="12.1640625" customWidth="1"/>
    <col min="5" max="5" width="16.5" customWidth="1"/>
    <col min="6" max="6" width="11.6640625" style="409" customWidth="1"/>
    <col min="7" max="7" width="14.1640625" customWidth="1"/>
    <col min="8" max="8" width="18.1640625" customWidth="1"/>
    <col min="9" max="9" width="2.33203125" hidden="1" customWidth="1"/>
    <col min="10" max="10" width="12.5" customWidth="1"/>
    <col min="11" max="11" width="13" customWidth="1"/>
    <col min="12" max="12" width="14.1640625" customWidth="1"/>
    <col min="13" max="13" width="11.6640625" customWidth="1"/>
    <col min="14" max="14" width="14" customWidth="1"/>
    <col min="15" max="15" width="8.6640625" hidden="1" customWidth="1"/>
    <col min="16" max="16" width="9.1640625" customWidth="1"/>
    <col min="17" max="70" width="9.1640625" hidden="1" customWidth="1"/>
    <col min="71" max="71" width="15.6640625" bestFit="1" customWidth="1"/>
    <col min="72" max="134" width="9.1640625"/>
  </cols>
  <sheetData>
    <row r="1" spans="1:134" ht="19">
      <c r="A1" s="406" t="s">
        <v>222</v>
      </c>
      <c r="B1" s="407"/>
      <c r="E1" s="407"/>
      <c r="F1" s="408"/>
      <c r="G1" s="407"/>
      <c r="I1" s="406"/>
      <c r="J1" s="407"/>
    </row>
    <row r="2" spans="1:134">
      <c r="A2" s="407"/>
      <c r="B2" s="407"/>
      <c r="C2" s="407"/>
      <c r="D2" s="407"/>
      <c r="E2" s="407"/>
      <c r="F2" s="408"/>
      <c r="G2" s="407"/>
      <c r="H2" s="407"/>
      <c r="I2" s="407"/>
      <c r="J2" s="407"/>
    </row>
    <row r="3" spans="1:134" ht="19">
      <c r="A3" s="406" t="s">
        <v>223</v>
      </c>
      <c r="B3" s="407"/>
      <c r="C3" s="407"/>
      <c r="D3" s="407"/>
      <c r="E3" s="407"/>
      <c r="F3" s="408"/>
      <c r="G3" s="407"/>
      <c r="H3" s="407"/>
      <c r="I3" s="407"/>
      <c r="J3" s="407"/>
    </row>
    <row r="4" spans="1:134" ht="19">
      <c r="A4" s="406" t="s">
        <v>224</v>
      </c>
      <c r="B4" s="407"/>
      <c r="C4" s="407"/>
      <c r="D4" s="407"/>
      <c r="E4" s="407"/>
      <c r="F4" s="408"/>
      <c r="G4" s="407"/>
      <c r="H4" s="407"/>
      <c r="I4" s="407"/>
      <c r="J4" s="407"/>
      <c r="L4" s="409"/>
      <c r="N4" s="409"/>
    </row>
    <row r="5" spans="1:134" ht="29.25" customHeight="1">
      <c r="A5" s="639" t="s">
        <v>225</v>
      </c>
      <c r="B5" s="639"/>
      <c r="C5" s="639"/>
      <c r="D5" s="639"/>
      <c r="E5" s="639"/>
      <c r="F5" s="639"/>
      <c r="G5" s="639"/>
      <c r="H5" s="639"/>
      <c r="I5" s="639"/>
      <c r="J5" s="639"/>
      <c r="K5" s="639"/>
      <c r="L5" s="639"/>
      <c r="M5" s="639"/>
      <c r="N5" s="639"/>
    </row>
    <row r="6" spans="1:134" s="250" customFormat="1" ht="22.5" customHeight="1">
      <c r="A6" s="640" t="s">
        <v>226</v>
      </c>
      <c r="B6" s="635" t="s">
        <v>227</v>
      </c>
      <c r="C6" s="641" t="s">
        <v>228</v>
      </c>
      <c r="D6" s="643" t="s">
        <v>229</v>
      </c>
      <c r="E6" s="641" t="s">
        <v>230</v>
      </c>
      <c r="F6" s="645" t="s">
        <v>231</v>
      </c>
      <c r="G6" s="641" t="s">
        <v>232</v>
      </c>
      <c r="H6" s="633" t="s">
        <v>233</v>
      </c>
      <c r="I6" s="410"/>
      <c r="J6" s="633" t="s">
        <v>234</v>
      </c>
      <c r="K6" s="633" t="s">
        <v>235</v>
      </c>
      <c r="L6" s="635" t="s">
        <v>236</v>
      </c>
      <c r="M6" s="635" t="s">
        <v>237</v>
      </c>
      <c r="N6" s="635" t="s">
        <v>238</v>
      </c>
      <c r="O6" s="636" t="s">
        <v>229</v>
      </c>
      <c r="P6"/>
      <c r="Q6"/>
      <c r="R6"/>
      <c r="S6" s="411"/>
      <c r="BR6" s="412"/>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row>
    <row r="7" spans="1:134" s="250" customFormat="1" ht="56.25" customHeight="1">
      <c r="A7" s="640"/>
      <c r="B7" s="635"/>
      <c r="C7" s="642"/>
      <c r="D7" s="644"/>
      <c r="E7" s="642"/>
      <c r="F7" s="646"/>
      <c r="G7" s="642"/>
      <c r="H7" s="634"/>
      <c r="I7" s="413"/>
      <c r="J7" s="634"/>
      <c r="K7" s="634"/>
      <c r="L7" s="635"/>
      <c r="M7" s="635"/>
      <c r="N7" s="635"/>
      <c r="O7" s="637"/>
      <c r="P7"/>
      <c r="Q7"/>
      <c r="R7"/>
      <c r="S7" s="411"/>
      <c r="BR7" s="412"/>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row>
    <row r="8" spans="1:134" s="250" customFormat="1" ht="28.5" customHeight="1">
      <c r="A8" s="414"/>
      <c r="B8" s="415"/>
      <c r="C8" s="416" t="s">
        <v>99</v>
      </c>
      <c r="D8" s="417"/>
      <c r="E8" s="418"/>
      <c r="F8" s="419"/>
      <c r="G8" s="418" t="s">
        <v>103</v>
      </c>
      <c r="H8" s="418" t="s">
        <v>239</v>
      </c>
      <c r="I8" s="418"/>
      <c r="J8" s="418" t="s">
        <v>121</v>
      </c>
      <c r="K8" s="418" t="s">
        <v>240</v>
      </c>
      <c r="L8" s="418" t="s">
        <v>241</v>
      </c>
      <c r="M8" s="418" t="s">
        <v>242</v>
      </c>
      <c r="N8" s="418" t="s">
        <v>243</v>
      </c>
      <c r="P8"/>
      <c r="Q8"/>
      <c r="R8"/>
      <c r="S8" s="411"/>
      <c r="BR8" s="412"/>
      <c r="BS8" s="409"/>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row>
    <row r="9" spans="1:134" s="250" customFormat="1" ht="16" thickBot="1">
      <c r="A9" s="420"/>
      <c r="B9" s="421"/>
      <c r="C9" s="421"/>
      <c r="D9" s="422"/>
      <c r="E9" s="423"/>
      <c r="F9" s="424"/>
      <c r="G9" s="423"/>
      <c r="H9" s="425"/>
      <c r="I9" s="425"/>
      <c r="J9" s="425"/>
      <c r="K9" s="425"/>
      <c r="L9" s="425"/>
      <c r="M9" s="425"/>
      <c r="N9" s="425"/>
      <c r="O9" s="426"/>
      <c r="P9"/>
      <c r="Q9"/>
      <c r="R9"/>
      <c r="S9" s="411"/>
      <c r="BR9" s="412"/>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row>
    <row r="10" spans="1:134" s="250" customFormat="1" ht="19.5" customHeight="1">
      <c r="A10" s="638" t="s">
        <v>42</v>
      </c>
      <c r="B10" s="427">
        <v>43922</v>
      </c>
      <c r="C10" s="428">
        <v>1199.6199999999999</v>
      </c>
      <c r="D10" s="429">
        <v>40.61</v>
      </c>
      <c r="E10" s="428">
        <v>495.45</v>
      </c>
      <c r="F10" s="428">
        <v>0</v>
      </c>
      <c r="G10" s="428">
        <f>D10+E10</f>
        <v>536.05999999999995</v>
      </c>
      <c r="H10" s="428">
        <f t="shared" ref="H10:H26" si="0">+G10/C10*100</f>
        <v>44.685817175438892</v>
      </c>
      <c r="I10" s="428">
        <f>100-H10</f>
        <v>55.314182824561108</v>
      </c>
      <c r="J10" s="428">
        <v>590.4</v>
      </c>
      <c r="K10" s="428">
        <v>873.46</v>
      </c>
      <c r="L10" s="428">
        <f>+K10/J10*100</f>
        <v>147.94376693766941</v>
      </c>
      <c r="M10" s="428">
        <f>H10*L10/100</f>
        <v>66.109881216224352</v>
      </c>
      <c r="N10" s="430">
        <f>100-M10</f>
        <v>33.890118783775648</v>
      </c>
      <c r="O10" s="431">
        <v>40.79</v>
      </c>
      <c r="P10">
        <f t="shared" ref="P10:P12" si="1">+(C10-G10)/C10*100</f>
        <v>55.314182824561108</v>
      </c>
      <c r="Q10"/>
      <c r="R10" s="409"/>
      <c r="S10" s="411"/>
      <c r="BR10" s="412"/>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row>
    <row r="11" spans="1:134" s="250" customFormat="1" ht="17">
      <c r="A11" s="629"/>
      <c r="B11" s="432">
        <v>43952</v>
      </c>
      <c r="C11" s="433">
        <v>1603.97</v>
      </c>
      <c r="D11" s="434">
        <v>40.74</v>
      </c>
      <c r="E11" s="433">
        <v>1680.68</v>
      </c>
      <c r="F11" s="433">
        <f>F10</f>
        <v>0</v>
      </c>
      <c r="G11" s="433">
        <f t="shared" ref="G11" si="2">D11+E11</f>
        <v>1721.42</v>
      </c>
      <c r="H11" s="433">
        <f t="shared" si="0"/>
        <v>107.32245615566376</v>
      </c>
      <c r="I11" s="433">
        <f t="shared" ref="I11:I26" si="3">100-H11</f>
        <v>-7.3224561556637582</v>
      </c>
      <c r="J11" s="433">
        <v>1298.6199999999999</v>
      </c>
      <c r="K11" s="433">
        <v>1426.46</v>
      </c>
      <c r="L11" s="433">
        <f t="shared" ref="L11:L26" si="4">+K11/J11*100</f>
        <v>109.84429625294545</v>
      </c>
      <c r="M11" s="433">
        <f t="shared" ref="M11:M25" si="5">H11*L11/100</f>
        <v>117.88759668556479</v>
      </c>
      <c r="N11" s="435">
        <f>100-M11</f>
        <v>-17.887596685564787</v>
      </c>
      <c r="O11" s="436">
        <v>40.97</v>
      </c>
      <c r="P11">
        <f t="shared" si="1"/>
        <v>-7.3224561556637617</v>
      </c>
      <c r="Q11"/>
      <c r="R11" s="409"/>
      <c r="S11" s="411"/>
      <c r="BR11" s="412"/>
      <c r="BS11" s="437"/>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row>
    <row r="12" spans="1:134" s="250" customFormat="1" ht="18" thickBot="1">
      <c r="A12" s="629"/>
      <c r="B12" s="432">
        <v>43983</v>
      </c>
      <c r="C12" s="433">
        <v>1584.44</v>
      </c>
      <c r="D12" s="434">
        <v>40.549999999999997</v>
      </c>
      <c r="E12" s="433">
        <f>1595.99</f>
        <v>1595.99</v>
      </c>
      <c r="F12" s="433">
        <f>F11</f>
        <v>0</v>
      </c>
      <c r="G12" s="433">
        <f>D12+E12</f>
        <v>1636.54</v>
      </c>
      <c r="H12" s="433">
        <f t="shared" si="0"/>
        <v>103.28822801746989</v>
      </c>
      <c r="I12" s="433">
        <f t="shared" si="3"/>
        <v>-3.2882280174698906</v>
      </c>
      <c r="J12" s="433">
        <v>1494.96</v>
      </c>
      <c r="K12" s="433">
        <v>1624.59</v>
      </c>
      <c r="L12" s="433">
        <f t="shared" si="4"/>
        <v>108.67113501364585</v>
      </c>
      <c r="M12" s="433">
        <f t="shared" si="5"/>
        <v>112.24448972206709</v>
      </c>
      <c r="N12" s="435">
        <f>100-M12</f>
        <v>-12.244489722067087</v>
      </c>
      <c r="O12" s="436">
        <v>40.81</v>
      </c>
      <c r="P12">
        <f t="shared" si="1"/>
        <v>-3.2882280174698888</v>
      </c>
      <c r="Q12"/>
      <c r="R12" s="409"/>
      <c r="S12" s="411"/>
      <c r="BR12" s="412"/>
      <c r="BS12" s="437"/>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row>
    <row r="13" spans="1:134" s="250" customFormat="1" ht="17">
      <c r="A13" s="629"/>
      <c r="B13" s="438"/>
      <c r="C13" s="439">
        <f>SUM(C10:C12)</f>
        <v>4388.0300000000007</v>
      </c>
      <c r="D13" s="439">
        <f t="shared" ref="D13:F13" si="6">SUM(D10:D12)</f>
        <v>121.89999999999999</v>
      </c>
      <c r="E13" s="439">
        <f t="shared" si="6"/>
        <v>3772.12</v>
      </c>
      <c r="F13" s="439">
        <f t="shared" si="6"/>
        <v>0</v>
      </c>
      <c r="G13" s="439">
        <f>SUM(G10:G12)</f>
        <v>3894.02</v>
      </c>
      <c r="H13" s="440">
        <f t="shared" si="0"/>
        <v>88.741872776621847</v>
      </c>
      <c r="I13" s="440">
        <f>100-H13</f>
        <v>11.258127223378153</v>
      </c>
      <c r="J13" s="439">
        <f t="shared" ref="J13:K13" si="7">SUM(J10:J12)</f>
        <v>3383.98</v>
      </c>
      <c r="K13" s="439">
        <f t="shared" si="7"/>
        <v>3924.51</v>
      </c>
      <c r="L13" s="440">
        <f>+K13/J13*100</f>
        <v>115.97320315131887</v>
      </c>
      <c r="M13" s="440">
        <f>H13*L13/100</f>
        <v>102.91679239551658</v>
      </c>
      <c r="N13" s="441">
        <f>100-M13</f>
        <v>-2.9167923955165804</v>
      </c>
      <c r="O13" s="442">
        <f>SUM(O10:O12)</f>
        <v>122.57</v>
      </c>
      <c r="P13">
        <f>+(C13-G13)/C13*100</f>
        <v>11.258127223378159</v>
      </c>
      <c r="Q13"/>
      <c r="R13" s="409"/>
      <c r="S13" s="411"/>
      <c r="BR13" s="412"/>
      <c r="BS13" s="437"/>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row>
    <row r="14" spans="1:134" s="250" customFormat="1" ht="17">
      <c r="A14" s="629" t="s">
        <v>49</v>
      </c>
      <c r="B14" s="432">
        <v>44013</v>
      </c>
      <c r="C14" s="433">
        <v>1716.79</v>
      </c>
      <c r="D14" s="443">
        <v>14.46</v>
      </c>
      <c r="E14" s="433">
        <v>1543.12</v>
      </c>
      <c r="F14" s="433">
        <f>F12</f>
        <v>0</v>
      </c>
      <c r="G14" s="433">
        <f t="shared" ref="G14:G25" si="8">D14+E14</f>
        <v>1557.58</v>
      </c>
      <c r="H14" s="433">
        <f t="shared" si="0"/>
        <v>90.726297333977939</v>
      </c>
      <c r="I14" s="433">
        <f t="shared" si="3"/>
        <v>9.2737026660220607</v>
      </c>
      <c r="J14" s="433">
        <v>1283.1300000000001</v>
      </c>
      <c r="K14" s="433">
        <v>1289.29</v>
      </c>
      <c r="L14" s="433">
        <f t="shared" si="4"/>
        <v>100.48007606399973</v>
      </c>
      <c r="M14" s="439">
        <f t="shared" si="5"/>
        <v>91.161852571231591</v>
      </c>
      <c r="N14" s="435">
        <f t="shared" ref="N14:N25" si="9">100-M14</f>
        <v>8.8381474287684085</v>
      </c>
      <c r="O14" s="444">
        <v>14.54</v>
      </c>
      <c r="P14">
        <f t="shared" ref="P14:P26" si="10">+(C14-G14)/C14*100</f>
        <v>9.2737026660220536</v>
      </c>
      <c r="Q14"/>
      <c r="R14" s="409"/>
      <c r="S14" s="411"/>
      <c r="BR14" s="412"/>
      <c r="BS14" s="437"/>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row>
    <row r="15" spans="1:134" s="250" customFormat="1" ht="17">
      <c r="A15" s="629"/>
      <c r="B15" s="432">
        <v>44044</v>
      </c>
      <c r="C15" s="433">
        <v>1687.49</v>
      </c>
      <c r="D15" s="434">
        <v>12.37</v>
      </c>
      <c r="E15" s="433">
        <v>1527.7970519999999</v>
      </c>
      <c r="F15" s="433">
        <f>F14</f>
        <v>0</v>
      </c>
      <c r="G15" s="433">
        <f t="shared" si="8"/>
        <v>1540.1670519999998</v>
      </c>
      <c r="H15" s="433">
        <f t="shared" si="0"/>
        <v>91.269699494515507</v>
      </c>
      <c r="I15" s="433">
        <f t="shared" si="3"/>
        <v>8.7303005054844931</v>
      </c>
      <c r="J15" s="433">
        <v>1306.9846400219999</v>
      </c>
      <c r="K15" s="433">
        <v>1459.9</v>
      </c>
      <c r="L15" s="433">
        <f t="shared" si="4"/>
        <v>111.69985899569764</v>
      </c>
      <c r="M15" s="439">
        <f t="shared" si="5"/>
        <v>101.94812564117079</v>
      </c>
      <c r="N15" s="435">
        <f t="shared" si="9"/>
        <v>-1.9481256411707903</v>
      </c>
      <c r="O15" s="445">
        <v>12.44</v>
      </c>
      <c r="P15">
        <f t="shared" si="10"/>
        <v>8.7303005054844895</v>
      </c>
      <c r="Q15"/>
      <c r="R15" s="409"/>
      <c r="S15" s="411"/>
      <c r="BR15" s="412"/>
      <c r="BS15" s="437"/>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row>
    <row r="16" spans="1:134" s="250" customFormat="1" ht="18" thickBot="1">
      <c r="A16" s="629"/>
      <c r="B16" s="432">
        <v>44075</v>
      </c>
      <c r="C16" s="433">
        <v>1936.26</v>
      </c>
      <c r="D16" s="443">
        <v>11.91</v>
      </c>
      <c r="E16" s="433">
        <v>1675.49</v>
      </c>
      <c r="F16" s="433">
        <f>F14</f>
        <v>0</v>
      </c>
      <c r="G16" s="433">
        <f t="shared" si="8"/>
        <v>1687.4</v>
      </c>
      <c r="H16" s="433">
        <f t="shared" si="0"/>
        <v>87.147387231053685</v>
      </c>
      <c r="I16" s="433">
        <f t="shared" si="3"/>
        <v>12.852612768946315</v>
      </c>
      <c r="J16" s="433">
        <v>1428</v>
      </c>
      <c r="K16" s="433">
        <f>1216.71+267.97</f>
        <v>1484.68</v>
      </c>
      <c r="L16" s="433">
        <f>+K16/J16*100</f>
        <v>103.96918767507005</v>
      </c>
      <c r="M16" s="439">
        <f>H16*L16/100</f>
        <v>90.606430584174234</v>
      </c>
      <c r="N16" s="435">
        <f t="shared" si="9"/>
        <v>9.3935694158257661</v>
      </c>
      <c r="O16" s="444">
        <v>11.98</v>
      </c>
      <c r="P16">
        <f t="shared" si="10"/>
        <v>12.852612768946315</v>
      </c>
      <c r="Q16"/>
      <c r="R16" s="409"/>
      <c r="S16" s="411"/>
      <c r="BR16" s="412"/>
      <c r="BS16" s="437"/>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row>
    <row r="17" spans="1:134" s="250" customFormat="1" ht="17">
      <c r="A17" s="629"/>
      <c r="B17" s="438"/>
      <c r="C17" s="439">
        <f>SUM(C14:C16)</f>
        <v>5340.54</v>
      </c>
      <c r="D17" s="439">
        <f t="shared" ref="D17:F17" si="11">SUM(D14:D16)</f>
        <v>38.739999999999995</v>
      </c>
      <c r="E17" s="439">
        <f t="shared" si="11"/>
        <v>4746.4070519999996</v>
      </c>
      <c r="F17" s="439">
        <f t="shared" si="11"/>
        <v>0</v>
      </c>
      <c r="G17" s="439">
        <f t="shared" si="8"/>
        <v>4785.1470519999993</v>
      </c>
      <c r="H17" s="440">
        <f t="shared" si="0"/>
        <v>89.600434637695798</v>
      </c>
      <c r="I17" s="440">
        <f>100-H17</f>
        <v>10.399565362304202</v>
      </c>
      <c r="J17" s="439">
        <f t="shared" ref="J17" si="12">SUM(J14:J16)</f>
        <v>4018.114640022</v>
      </c>
      <c r="K17" s="439">
        <f t="shared" ref="K17" si="13">SUM(K14:K16)</f>
        <v>4233.87</v>
      </c>
      <c r="L17" s="440">
        <f>+K17/J17*100</f>
        <v>105.36956705587718</v>
      </c>
      <c r="M17" s="440">
        <f>H17*L17/100</f>
        <v>94.411590057924272</v>
      </c>
      <c r="N17" s="441">
        <f>100-M17</f>
        <v>5.5884099420757281</v>
      </c>
      <c r="O17" s="446">
        <f>SUM(O14:O16)</f>
        <v>38.959999999999994</v>
      </c>
      <c r="P17">
        <f t="shared" si="10"/>
        <v>10.399565362304198</v>
      </c>
      <c r="Q17"/>
      <c r="R17" s="409"/>
      <c r="S17" s="411"/>
      <c r="BR17" s="412"/>
      <c r="BS17" s="44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row>
    <row r="18" spans="1:134" s="250" customFormat="1" ht="15" hidden="1">
      <c r="A18" s="629" t="s">
        <v>57</v>
      </c>
      <c r="B18" s="432">
        <v>44105</v>
      </c>
      <c r="C18" s="433">
        <v>0</v>
      </c>
      <c r="D18" s="434">
        <v>0</v>
      </c>
      <c r="E18" s="433">
        <v>0</v>
      </c>
      <c r="F18" s="433">
        <f>F16</f>
        <v>0</v>
      </c>
      <c r="G18" s="433">
        <f t="shared" si="8"/>
        <v>0</v>
      </c>
      <c r="H18" s="433" t="e">
        <f t="shared" si="0"/>
        <v>#DIV/0!</v>
      </c>
      <c r="I18" s="433" t="e">
        <f t="shared" si="3"/>
        <v>#DIV/0!</v>
      </c>
      <c r="J18" s="433">
        <v>0</v>
      </c>
      <c r="K18" s="433">
        <v>0</v>
      </c>
      <c r="L18" s="433" t="e">
        <f t="shared" si="4"/>
        <v>#DIV/0!</v>
      </c>
      <c r="M18" s="439" t="e">
        <f t="shared" si="5"/>
        <v>#DIV/0!</v>
      </c>
      <c r="N18" s="435" t="e">
        <f t="shared" si="9"/>
        <v>#DIV/0!</v>
      </c>
      <c r="O18" s="445">
        <v>37.07</v>
      </c>
      <c r="P18" t="e">
        <f t="shared" si="10"/>
        <v>#DIV/0!</v>
      </c>
      <c r="Q18"/>
      <c r="R18" s="409"/>
      <c r="S18" s="411"/>
      <c r="BR18" s="412"/>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row>
    <row r="19" spans="1:134" s="250" customFormat="1" ht="15" hidden="1">
      <c r="A19" s="629"/>
      <c r="B19" s="432">
        <v>44136</v>
      </c>
      <c r="C19" s="433">
        <v>0</v>
      </c>
      <c r="D19" s="443">
        <v>0</v>
      </c>
      <c r="E19" s="433">
        <v>0</v>
      </c>
      <c r="F19" s="433">
        <f>F18</f>
        <v>0</v>
      </c>
      <c r="G19" s="433">
        <f t="shared" si="8"/>
        <v>0</v>
      </c>
      <c r="H19" s="433" t="e">
        <f t="shared" si="0"/>
        <v>#DIV/0!</v>
      </c>
      <c r="I19" s="433" t="e">
        <f t="shared" si="3"/>
        <v>#DIV/0!</v>
      </c>
      <c r="J19" s="433">
        <v>0</v>
      </c>
      <c r="K19" s="433">
        <v>0</v>
      </c>
      <c r="L19" s="433" t="e">
        <f t="shared" si="4"/>
        <v>#DIV/0!</v>
      </c>
      <c r="M19" s="439" t="e">
        <f t="shared" si="5"/>
        <v>#DIV/0!</v>
      </c>
      <c r="N19" s="435" t="e">
        <f t="shared" si="9"/>
        <v>#DIV/0!</v>
      </c>
      <c r="O19" s="444">
        <v>39.854999999999997</v>
      </c>
      <c r="P19" t="e">
        <f t="shared" si="10"/>
        <v>#DIV/0!</v>
      </c>
      <c r="Q19"/>
      <c r="R19" s="409"/>
      <c r="S19" s="411"/>
      <c r="BR19" s="412"/>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row>
    <row r="20" spans="1:134" s="250" customFormat="1" ht="15" hidden="1">
      <c r="A20" s="629"/>
      <c r="B20" s="432">
        <v>44166</v>
      </c>
      <c r="C20" s="433">
        <v>0</v>
      </c>
      <c r="D20" s="443">
        <v>0</v>
      </c>
      <c r="E20" s="433">
        <v>0</v>
      </c>
      <c r="F20" s="433">
        <f>F18</f>
        <v>0</v>
      </c>
      <c r="G20" s="433">
        <f t="shared" si="8"/>
        <v>0</v>
      </c>
      <c r="H20" s="433" t="e">
        <f t="shared" si="0"/>
        <v>#DIV/0!</v>
      </c>
      <c r="I20" s="433" t="e">
        <f t="shared" si="3"/>
        <v>#DIV/0!</v>
      </c>
      <c r="J20" s="433">
        <v>0</v>
      </c>
      <c r="K20" s="433">
        <v>0</v>
      </c>
      <c r="L20" s="433" t="e">
        <f t="shared" si="4"/>
        <v>#DIV/0!</v>
      </c>
      <c r="M20" s="439" t="e">
        <f t="shared" si="5"/>
        <v>#DIV/0!</v>
      </c>
      <c r="N20" s="435" t="e">
        <f t="shared" si="9"/>
        <v>#DIV/0!</v>
      </c>
      <c r="O20" s="444">
        <v>40.29</v>
      </c>
      <c r="P20" t="e">
        <f t="shared" si="10"/>
        <v>#DIV/0!</v>
      </c>
      <c r="Q20"/>
      <c r="R20" s="409"/>
      <c r="S20" s="411"/>
      <c r="BR20" s="412"/>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row>
    <row r="21" spans="1:134" s="451" customFormat="1" ht="15" hidden="1">
      <c r="A21" s="629"/>
      <c r="B21" s="448"/>
      <c r="C21" s="439">
        <f t="shared" ref="C21" si="14">SUM(C18:C20)</f>
        <v>0</v>
      </c>
      <c r="D21" s="449">
        <f>SUM(D18:D20)</f>
        <v>0</v>
      </c>
      <c r="E21" s="439">
        <f>SUM(E18:E20)</f>
        <v>0</v>
      </c>
      <c r="F21" s="439">
        <f>SUM(F18:F20)</f>
        <v>0</v>
      </c>
      <c r="G21" s="433">
        <f t="shared" si="8"/>
        <v>0</v>
      </c>
      <c r="H21" s="439" t="e">
        <f t="shared" si="0"/>
        <v>#DIV/0!</v>
      </c>
      <c r="I21" s="439" t="e">
        <f t="shared" si="3"/>
        <v>#DIV/0!</v>
      </c>
      <c r="J21" s="448">
        <f>SUM(J18:J20)</f>
        <v>0</v>
      </c>
      <c r="K21" s="448">
        <f>SUM(K18:K20)</f>
        <v>0</v>
      </c>
      <c r="L21" s="439" t="e">
        <f t="shared" si="4"/>
        <v>#DIV/0!</v>
      </c>
      <c r="M21" s="439" t="e">
        <f t="shared" si="5"/>
        <v>#DIV/0!</v>
      </c>
      <c r="N21" s="450" t="e">
        <f t="shared" si="9"/>
        <v>#DIV/0!</v>
      </c>
      <c r="O21" s="446">
        <f>SUM(O18:O20)</f>
        <v>117.215</v>
      </c>
      <c r="P21" t="e">
        <f t="shared" si="10"/>
        <v>#DIV/0!</v>
      </c>
      <c r="R21" s="409"/>
    </row>
    <row r="22" spans="1:134" ht="15" hidden="1">
      <c r="A22" s="629" t="s">
        <v>244</v>
      </c>
      <c r="B22" s="432">
        <v>44197</v>
      </c>
      <c r="C22" s="433">
        <v>0</v>
      </c>
      <c r="D22" s="443">
        <v>0</v>
      </c>
      <c r="E22" s="433">
        <v>0</v>
      </c>
      <c r="F22" s="433">
        <v>0</v>
      </c>
      <c r="G22" s="433">
        <f t="shared" si="8"/>
        <v>0</v>
      </c>
      <c r="H22" s="439" t="e">
        <f t="shared" si="0"/>
        <v>#DIV/0!</v>
      </c>
      <c r="I22" s="433" t="e">
        <f t="shared" si="3"/>
        <v>#DIV/0!</v>
      </c>
      <c r="J22" s="433">
        <v>0</v>
      </c>
      <c r="K22" s="433">
        <v>0</v>
      </c>
      <c r="L22" s="439" t="e">
        <f t="shared" si="4"/>
        <v>#DIV/0!</v>
      </c>
      <c r="M22" s="439" t="e">
        <f t="shared" si="5"/>
        <v>#DIV/0!</v>
      </c>
      <c r="N22" s="450" t="e">
        <f t="shared" si="9"/>
        <v>#DIV/0!</v>
      </c>
      <c r="O22" s="444">
        <v>44.35</v>
      </c>
      <c r="P22" t="e">
        <f t="shared" si="10"/>
        <v>#DIV/0!</v>
      </c>
      <c r="Q22">
        <v>1617.18</v>
      </c>
      <c r="R22" s="409"/>
    </row>
    <row r="23" spans="1:134" ht="15" hidden="1">
      <c r="A23" s="629"/>
      <c r="B23" s="432">
        <v>44228</v>
      </c>
      <c r="C23" s="433">
        <v>0</v>
      </c>
      <c r="D23" s="443">
        <v>0</v>
      </c>
      <c r="E23" s="433">
        <v>0</v>
      </c>
      <c r="F23" s="433">
        <v>0</v>
      </c>
      <c r="G23" s="433">
        <f t="shared" si="8"/>
        <v>0</v>
      </c>
      <c r="H23" s="439" t="e">
        <f t="shared" si="0"/>
        <v>#DIV/0!</v>
      </c>
      <c r="I23" s="433" t="e">
        <f t="shared" si="3"/>
        <v>#DIV/0!</v>
      </c>
      <c r="J23" s="433">
        <v>0</v>
      </c>
      <c r="K23" s="433">
        <v>0</v>
      </c>
      <c r="L23" s="439" t="e">
        <f t="shared" si="4"/>
        <v>#DIV/0!</v>
      </c>
      <c r="M23" s="439" t="e">
        <f t="shared" si="5"/>
        <v>#DIV/0!</v>
      </c>
      <c r="N23" s="450" t="e">
        <f t="shared" si="9"/>
        <v>#DIV/0!</v>
      </c>
      <c r="O23" s="444">
        <v>45.21</v>
      </c>
      <c r="P23" t="e">
        <f t="shared" si="10"/>
        <v>#DIV/0!</v>
      </c>
      <c r="Q23">
        <v>1609.64</v>
      </c>
      <c r="R23" s="409"/>
    </row>
    <row r="24" spans="1:134" ht="15" hidden="1">
      <c r="A24" s="629"/>
      <c r="B24" s="432">
        <v>44256</v>
      </c>
      <c r="C24" s="433">
        <v>0</v>
      </c>
      <c r="D24" s="443">
        <v>0</v>
      </c>
      <c r="E24" s="433">
        <v>0</v>
      </c>
      <c r="F24" s="433">
        <v>0</v>
      </c>
      <c r="G24" s="433">
        <f t="shared" si="8"/>
        <v>0</v>
      </c>
      <c r="H24" s="439" t="e">
        <f t="shared" si="0"/>
        <v>#DIV/0!</v>
      </c>
      <c r="I24" s="433" t="e">
        <f t="shared" si="3"/>
        <v>#DIV/0!</v>
      </c>
      <c r="J24" s="433">
        <v>0</v>
      </c>
      <c r="K24" s="433">
        <v>0</v>
      </c>
      <c r="L24" s="439" t="e">
        <f t="shared" si="4"/>
        <v>#DIV/0!</v>
      </c>
      <c r="M24" s="439" t="e">
        <f t="shared" si="5"/>
        <v>#DIV/0!</v>
      </c>
      <c r="N24" s="450" t="e">
        <f t="shared" si="9"/>
        <v>#DIV/0!</v>
      </c>
      <c r="O24" s="444">
        <v>47.83</v>
      </c>
      <c r="P24" t="e">
        <f t="shared" si="10"/>
        <v>#DIV/0!</v>
      </c>
      <c r="Q24">
        <v>1859.25</v>
      </c>
      <c r="R24" s="409"/>
    </row>
    <row r="25" spans="1:134" s="451" customFormat="1" ht="15" hidden="1">
      <c r="A25" s="629"/>
      <c r="B25" s="448"/>
      <c r="C25" s="439">
        <f>SUM(C22:C24)</f>
        <v>0</v>
      </c>
      <c r="D25" s="439">
        <f>SUM(D22:D24)</f>
        <v>0</v>
      </c>
      <c r="E25" s="439">
        <f>SUM(E22:E24)</f>
        <v>0</v>
      </c>
      <c r="F25" s="439">
        <f>SUM(F22:F23)</f>
        <v>0</v>
      </c>
      <c r="G25" s="433">
        <f t="shared" si="8"/>
        <v>0</v>
      </c>
      <c r="H25" s="439" t="e">
        <f t="shared" si="0"/>
        <v>#DIV/0!</v>
      </c>
      <c r="I25" s="439" t="e">
        <f t="shared" si="3"/>
        <v>#DIV/0!</v>
      </c>
      <c r="J25" s="439">
        <f>SUM(J22:J24)</f>
        <v>0</v>
      </c>
      <c r="K25" s="439">
        <f>SUM(K22:K24)</f>
        <v>0</v>
      </c>
      <c r="L25" s="439" t="e">
        <f t="shared" si="4"/>
        <v>#DIV/0!</v>
      </c>
      <c r="M25" s="439" t="e">
        <f t="shared" si="5"/>
        <v>#DIV/0!</v>
      </c>
      <c r="N25" s="450" t="e">
        <f t="shared" si="9"/>
        <v>#DIV/0!</v>
      </c>
      <c r="O25" s="452">
        <f>SUM(O22:O24)</f>
        <v>137.38999999999999</v>
      </c>
      <c r="P25" t="e">
        <f t="shared" si="10"/>
        <v>#DIV/0!</v>
      </c>
      <c r="R25" s="409"/>
    </row>
    <row r="26" spans="1:134" s="451" customFormat="1" ht="15" customHeight="1" thickBot="1">
      <c r="A26" s="453"/>
      <c r="B26" s="454"/>
      <c r="C26" s="455">
        <f>+C13+C17+C21+C25</f>
        <v>9728.57</v>
      </c>
      <c r="D26" s="455">
        <f t="shared" ref="D26:G26" si="15">+D13+D17+D21+D25</f>
        <v>160.63999999999999</v>
      </c>
      <c r="E26" s="455">
        <f t="shared" si="15"/>
        <v>8518.5270519999995</v>
      </c>
      <c r="F26" s="455">
        <f t="shared" si="15"/>
        <v>0</v>
      </c>
      <c r="G26" s="455">
        <f t="shared" si="15"/>
        <v>8679.1670519999989</v>
      </c>
      <c r="H26" s="455">
        <f t="shared" si="0"/>
        <v>89.213183972567393</v>
      </c>
      <c r="I26" s="455">
        <f t="shared" si="3"/>
        <v>10.786816027432607</v>
      </c>
      <c r="J26" s="455">
        <f t="shared" ref="J26:K26" si="16">+J13+J17+J21+J25</f>
        <v>7402.094640022</v>
      </c>
      <c r="K26" s="455">
        <f t="shared" si="16"/>
        <v>8158.38</v>
      </c>
      <c r="L26" s="455">
        <f t="shared" si="4"/>
        <v>110.21718036255415</v>
      </c>
      <c r="M26" s="455">
        <f>H26*L26/100</f>
        <v>98.328255886221854</v>
      </c>
      <c r="N26" s="456">
        <f>100-M26</f>
        <v>1.6717441137781464</v>
      </c>
      <c r="O26" s="452">
        <f>O13+O17+O21+O25</f>
        <v>416.13499999999999</v>
      </c>
      <c r="P26">
        <f t="shared" si="10"/>
        <v>10.786816027432613</v>
      </c>
      <c r="R26" s="409"/>
    </row>
    <row r="27" spans="1:134" s="451" customFormat="1" ht="15" customHeight="1">
      <c r="A27" s="457"/>
      <c r="B27" s="458"/>
      <c r="C27" s="459"/>
      <c r="D27" s="459"/>
      <c r="E27" s="459"/>
      <c r="F27" s="459"/>
      <c r="G27" s="459"/>
      <c r="H27" s="459"/>
      <c r="I27" s="459"/>
      <c r="J27" s="459"/>
      <c r="K27" s="459"/>
      <c r="L27" s="459"/>
      <c r="M27" s="459"/>
      <c r="N27" s="460"/>
      <c r="O27" s="461"/>
      <c r="R27" s="409"/>
    </row>
    <row r="28" spans="1:134" s="451" customFormat="1" ht="134.25" customHeight="1">
      <c r="A28" s="462"/>
      <c r="B28" s="630" t="s">
        <v>245</v>
      </c>
      <c r="C28" s="631"/>
      <c r="D28" s="631"/>
      <c r="E28" s="631"/>
      <c r="F28" s="631"/>
      <c r="G28" s="631"/>
      <c r="H28" s="631"/>
      <c r="I28" s="631"/>
      <c r="J28" s="631"/>
      <c r="K28" s="631"/>
      <c r="L28" s="631"/>
      <c r="M28" s="631"/>
      <c r="N28" s="632"/>
    </row>
    <row r="29" spans="1:134" ht="15.75" customHeight="1">
      <c r="E29" s="463"/>
      <c r="F29" s="464"/>
      <c r="G29" s="463"/>
      <c r="H29" s="409"/>
      <c r="J29" s="409"/>
      <c r="K29" s="409"/>
    </row>
    <row r="30" spans="1:134" ht="15.75" customHeight="1">
      <c r="E30" s="464"/>
      <c r="F30" s="464"/>
      <c r="G30" s="463"/>
      <c r="H30" s="409"/>
      <c r="I30" s="409"/>
      <c r="K30" s="409"/>
    </row>
    <row r="31" spans="1:134">
      <c r="E31" s="464"/>
      <c r="F31" s="465"/>
      <c r="G31" s="463"/>
      <c r="H31" s="409"/>
      <c r="K31" s="409"/>
    </row>
    <row r="32" spans="1:134">
      <c r="E32" s="463"/>
      <c r="F32" s="464"/>
      <c r="G32" s="463"/>
    </row>
    <row r="33" spans="5:7">
      <c r="E33" s="463"/>
      <c r="F33" s="464"/>
      <c r="G33" s="463"/>
    </row>
    <row r="34" spans="5:7">
      <c r="E34" s="463"/>
      <c r="F34" s="464"/>
      <c r="G34" s="463"/>
    </row>
    <row r="35" spans="5:7">
      <c r="E35" s="463"/>
      <c r="F35" s="464"/>
      <c r="G35" s="463"/>
    </row>
    <row r="36" spans="5:7">
      <c r="E36" s="463"/>
      <c r="F36" s="464"/>
      <c r="G36" s="463"/>
    </row>
    <row r="37" spans="5:7">
      <c r="E37" s="463"/>
      <c r="F37" s="464"/>
      <c r="G37" s="463"/>
    </row>
    <row r="38" spans="5:7">
      <c r="E38" s="463"/>
      <c r="F38" s="464"/>
      <c r="G38" s="463"/>
    </row>
    <row r="39" spans="5:7">
      <c r="E39" s="463"/>
      <c r="F39" s="464"/>
      <c r="G39" s="463"/>
    </row>
    <row r="40" spans="5:7">
      <c r="E40" s="463"/>
      <c r="F40" s="464"/>
      <c r="G40" s="463"/>
    </row>
    <row r="41" spans="5:7">
      <c r="E41" s="463"/>
      <c r="F41" s="464"/>
      <c r="G41" s="463"/>
    </row>
    <row r="42" spans="5:7">
      <c r="E42" s="463"/>
      <c r="F42" s="464"/>
      <c r="G42" s="463"/>
    </row>
    <row r="43" spans="5:7">
      <c r="E43" s="463"/>
      <c r="F43" s="464"/>
      <c r="G43" s="463"/>
    </row>
    <row r="44" spans="5:7">
      <c r="E44" s="463"/>
      <c r="F44" s="464"/>
      <c r="G44" s="463"/>
    </row>
    <row r="45" spans="5:7">
      <c r="E45" s="463"/>
      <c r="F45" s="464"/>
      <c r="G45" s="463"/>
    </row>
    <row r="46" spans="5:7">
      <c r="E46" s="464">
        <f>+E13-O13</f>
        <v>3649.5499999999997</v>
      </c>
      <c r="F46" s="464"/>
      <c r="G46" s="463"/>
    </row>
    <row r="47" spans="5:7">
      <c r="E47" s="463"/>
      <c r="F47" s="464"/>
      <c r="G47" s="464"/>
    </row>
    <row r="48" spans="5:7">
      <c r="E48" s="463"/>
      <c r="F48" s="464"/>
      <c r="G48" s="463"/>
    </row>
    <row r="49" spans="5:7">
      <c r="E49" s="463"/>
      <c r="F49" s="464"/>
      <c r="G49" s="466"/>
    </row>
    <row r="50" spans="5:7">
      <c r="E50" s="463"/>
      <c r="F50" s="464"/>
      <c r="G50" s="463"/>
    </row>
    <row r="51" spans="5:7">
      <c r="E51" s="463"/>
      <c r="F51" s="464"/>
      <c r="G51" s="463"/>
    </row>
    <row r="52" spans="5:7">
      <c r="E52" s="463"/>
      <c r="F52" s="464"/>
      <c r="G52" s="463"/>
    </row>
    <row r="53" spans="5:7">
      <c r="E53" s="463"/>
      <c r="F53" s="464"/>
      <c r="G53" s="463"/>
    </row>
    <row r="54" spans="5:7">
      <c r="E54" s="463"/>
      <c r="F54" s="464"/>
      <c r="G54" s="463"/>
    </row>
    <row r="55" spans="5:7">
      <c r="E55" s="463"/>
      <c r="F55" s="464"/>
      <c r="G55" s="463"/>
    </row>
    <row r="56" spans="5:7">
      <c r="E56" s="463"/>
      <c r="F56" s="464"/>
      <c r="G56" s="463"/>
    </row>
    <row r="57" spans="5:7">
      <c r="E57" s="463"/>
      <c r="F57" s="464"/>
      <c r="G57" s="463"/>
    </row>
    <row r="58" spans="5:7">
      <c r="E58" s="463"/>
      <c r="F58" s="464"/>
      <c r="G58" s="463"/>
    </row>
    <row r="59" spans="5:7">
      <c r="E59" s="463"/>
      <c r="F59" s="464"/>
      <c r="G59" s="463"/>
    </row>
    <row r="60" spans="5:7">
      <c r="E60" s="463"/>
      <c r="F60" s="464"/>
      <c r="G60" s="463"/>
    </row>
    <row r="61" spans="5:7">
      <c r="E61" s="463"/>
      <c r="F61" s="464"/>
      <c r="G61" s="463"/>
    </row>
    <row r="62" spans="5:7">
      <c r="E62" s="463"/>
      <c r="F62" s="464"/>
      <c r="G62" s="463"/>
    </row>
    <row r="63" spans="5:7">
      <c r="E63" s="463"/>
      <c r="F63" s="464"/>
      <c r="G63" s="463"/>
    </row>
    <row r="64" spans="5:7">
      <c r="E64" s="463"/>
      <c r="F64" s="464"/>
      <c r="G64" s="463"/>
    </row>
    <row r="65" spans="5:7">
      <c r="E65" s="463"/>
      <c r="F65" s="464"/>
      <c r="G65" s="463"/>
    </row>
    <row r="66" spans="5:7">
      <c r="E66" s="463"/>
      <c r="F66" s="464"/>
      <c r="G66" s="463"/>
    </row>
    <row r="67" spans="5:7">
      <c r="E67" s="463"/>
      <c r="F67" s="464"/>
      <c r="G67" s="463"/>
    </row>
    <row r="68" spans="5:7">
      <c r="E68" s="463"/>
      <c r="F68" s="464"/>
      <c r="G68" s="463"/>
    </row>
    <row r="69" spans="5:7">
      <c r="E69" s="463"/>
      <c r="F69" s="464"/>
      <c r="G69" s="463"/>
    </row>
    <row r="70" spans="5:7">
      <c r="E70" s="463"/>
      <c r="F70" s="464"/>
      <c r="G70" s="463"/>
    </row>
    <row r="71" spans="5:7">
      <c r="E71" s="463"/>
      <c r="F71" s="464"/>
      <c r="G71" s="463"/>
    </row>
    <row r="72" spans="5:7">
      <c r="E72" s="463"/>
      <c r="F72" s="464"/>
      <c r="G72" s="463"/>
    </row>
    <row r="73" spans="5:7">
      <c r="E73" s="463"/>
      <c r="F73" s="464"/>
      <c r="G73" s="463"/>
    </row>
    <row r="74" spans="5:7">
      <c r="E74" s="463"/>
      <c r="F74" s="464"/>
      <c r="G74" s="463"/>
    </row>
    <row r="75" spans="5:7">
      <c r="E75" s="463"/>
      <c r="F75" s="464"/>
      <c r="G75" s="463"/>
    </row>
    <row r="76" spans="5:7">
      <c r="E76" s="463"/>
      <c r="F76" s="464"/>
      <c r="G76" s="463"/>
    </row>
    <row r="77" spans="5:7">
      <c r="E77" s="463"/>
      <c r="F77" s="464"/>
      <c r="G77" s="463"/>
    </row>
    <row r="78" spans="5:7">
      <c r="E78" s="463"/>
      <c r="F78" s="464"/>
      <c r="G78" s="463"/>
    </row>
    <row r="79" spans="5:7">
      <c r="E79" s="463"/>
      <c r="F79" s="464"/>
      <c r="G79" s="463"/>
    </row>
    <row r="80" spans="5:7">
      <c r="E80" s="463"/>
      <c r="F80" s="464"/>
      <c r="G80" s="463"/>
    </row>
    <row r="81" spans="5:7">
      <c r="E81" s="463"/>
      <c r="F81" s="464"/>
      <c r="G81" s="463"/>
    </row>
    <row r="82" spans="5:7">
      <c r="E82" s="463"/>
      <c r="F82" s="464"/>
      <c r="G82" s="463"/>
    </row>
    <row r="83" spans="5:7">
      <c r="E83" s="463"/>
      <c r="F83" s="464"/>
      <c r="G83" s="463"/>
    </row>
    <row r="84" spans="5:7">
      <c r="E84" s="463"/>
      <c r="F84" s="464"/>
      <c r="G84" s="463"/>
    </row>
    <row r="85" spans="5:7">
      <c r="E85" s="463"/>
      <c r="F85" s="464"/>
      <c r="G85" s="463"/>
    </row>
    <row r="86" spans="5:7">
      <c r="E86" s="463"/>
      <c r="F86" s="464"/>
      <c r="G86" s="463"/>
    </row>
    <row r="87" spans="5:7">
      <c r="E87" s="463"/>
      <c r="F87" s="464"/>
      <c r="G87" s="463"/>
    </row>
    <row r="88" spans="5:7">
      <c r="E88" s="463"/>
      <c r="F88" s="464"/>
      <c r="G88" s="463"/>
    </row>
    <row r="89" spans="5:7">
      <c r="E89" s="463"/>
      <c r="F89" s="464"/>
      <c r="G89" s="463"/>
    </row>
    <row r="90" spans="5:7">
      <c r="E90" s="463"/>
      <c r="F90" s="464"/>
      <c r="G90" s="463"/>
    </row>
    <row r="91" spans="5:7">
      <c r="E91" s="463"/>
      <c r="F91" s="464"/>
      <c r="G91" s="463"/>
    </row>
    <row r="92" spans="5:7">
      <c r="E92" s="463"/>
      <c r="F92" s="464"/>
      <c r="G92" s="463"/>
    </row>
    <row r="93" spans="5:7">
      <c r="E93" s="463"/>
      <c r="F93" s="464"/>
      <c r="G93" s="463"/>
    </row>
    <row r="94" spans="5:7">
      <c r="E94" s="463"/>
      <c r="F94" s="464"/>
      <c r="G94" s="463"/>
    </row>
    <row r="95" spans="5:7">
      <c r="E95" s="463"/>
      <c r="F95" s="464"/>
      <c r="G95" s="463"/>
    </row>
    <row r="96" spans="5:7">
      <c r="E96" s="463"/>
      <c r="F96" s="464"/>
      <c r="G96" s="463"/>
    </row>
    <row r="97" spans="5:7">
      <c r="E97" s="463"/>
      <c r="F97" s="464"/>
      <c r="G97" s="463"/>
    </row>
    <row r="98" spans="5:7">
      <c r="E98" s="463"/>
      <c r="F98" s="464"/>
      <c r="G98" s="463"/>
    </row>
    <row r="99" spans="5:7">
      <c r="E99" s="463"/>
      <c r="F99" s="464"/>
      <c r="G99" s="463"/>
    </row>
    <row r="100" spans="5:7">
      <c r="E100" s="463"/>
      <c r="F100" s="464"/>
      <c r="G100" s="463"/>
    </row>
    <row r="101" spans="5:7">
      <c r="E101" s="463"/>
      <c r="F101" s="464"/>
      <c r="G101" s="463"/>
    </row>
    <row r="102" spans="5:7">
      <c r="E102" s="463"/>
      <c r="F102" s="464"/>
      <c r="G102" s="463"/>
    </row>
    <row r="103" spans="5:7">
      <c r="E103" s="463"/>
      <c r="F103" s="464"/>
      <c r="G103" s="463"/>
    </row>
    <row r="104" spans="5:7">
      <c r="E104" s="463"/>
      <c r="F104" s="464"/>
      <c r="G104" s="463"/>
    </row>
    <row r="105" spans="5:7">
      <c r="E105" s="463"/>
      <c r="F105" s="464"/>
      <c r="G105" s="463"/>
    </row>
    <row r="106" spans="5:7">
      <c r="E106" s="463"/>
      <c r="F106" s="464"/>
      <c r="G106" s="463"/>
    </row>
    <row r="107" spans="5:7">
      <c r="E107" s="463"/>
      <c r="F107" s="464"/>
      <c r="G107" s="463"/>
    </row>
    <row r="108" spans="5:7">
      <c r="E108" s="463"/>
      <c r="F108" s="464"/>
      <c r="G108" s="463"/>
    </row>
    <row r="109" spans="5:7">
      <c r="E109" s="463"/>
      <c r="F109" s="464"/>
      <c r="G109" s="463"/>
    </row>
    <row r="110" spans="5:7">
      <c r="E110" s="463"/>
      <c r="F110" s="464"/>
      <c r="G110" s="463"/>
    </row>
    <row r="111" spans="5:7">
      <c r="E111" s="463"/>
      <c r="F111" s="464"/>
      <c r="G111" s="463"/>
    </row>
    <row r="112" spans="5:7">
      <c r="E112" s="463"/>
      <c r="F112" s="464"/>
      <c r="G112" s="463"/>
    </row>
    <row r="113" spans="5:7">
      <c r="E113" s="463"/>
      <c r="F113" s="464"/>
      <c r="G113" s="463"/>
    </row>
    <row r="114" spans="5:7">
      <c r="E114" s="463"/>
      <c r="F114" s="464"/>
      <c r="G114" s="463"/>
    </row>
    <row r="115" spans="5:7">
      <c r="E115" s="463"/>
      <c r="F115" s="464"/>
      <c r="G115" s="463"/>
    </row>
    <row r="116" spans="5:7">
      <c r="E116" s="463"/>
      <c r="F116" s="464"/>
      <c r="G116" s="463"/>
    </row>
    <row r="117" spans="5:7">
      <c r="E117" s="463"/>
      <c r="F117" s="464"/>
      <c r="G117" s="463"/>
    </row>
    <row r="118" spans="5:7">
      <c r="E118" s="463"/>
      <c r="F118" s="464"/>
      <c r="G118" s="463"/>
    </row>
    <row r="119" spans="5:7">
      <c r="E119" s="463"/>
      <c r="F119" s="464"/>
      <c r="G119" s="463"/>
    </row>
    <row r="120" spans="5:7">
      <c r="E120" s="463"/>
      <c r="F120" s="464"/>
      <c r="G120" s="463"/>
    </row>
    <row r="121" spans="5:7">
      <c r="E121" s="463"/>
      <c r="F121" s="464"/>
      <c r="G121" s="463"/>
    </row>
    <row r="122" spans="5:7">
      <c r="E122" s="463"/>
      <c r="F122" s="464"/>
      <c r="G122" s="463"/>
    </row>
    <row r="123" spans="5:7">
      <c r="E123" s="463"/>
      <c r="F123" s="464"/>
      <c r="G123" s="463"/>
    </row>
    <row r="124" spans="5:7">
      <c r="E124" s="463"/>
      <c r="F124" s="464"/>
      <c r="G124" s="463"/>
    </row>
    <row r="125" spans="5:7">
      <c r="E125" s="463"/>
      <c r="F125" s="464"/>
      <c r="G125" s="463"/>
    </row>
    <row r="126" spans="5:7">
      <c r="E126" s="463"/>
      <c r="F126" s="464"/>
      <c r="G126" s="463"/>
    </row>
    <row r="127" spans="5:7">
      <c r="E127" s="463"/>
      <c r="F127" s="464"/>
      <c r="G127" s="463"/>
    </row>
    <row r="128" spans="5:7">
      <c r="E128" s="463"/>
      <c r="F128" s="464"/>
      <c r="G128" s="463"/>
    </row>
    <row r="129" spans="5:7">
      <c r="E129" s="463"/>
      <c r="F129" s="464"/>
      <c r="G129" s="463"/>
    </row>
    <row r="130" spans="5:7">
      <c r="E130" s="463"/>
      <c r="F130" s="464"/>
      <c r="G130" s="463"/>
    </row>
    <row r="131" spans="5:7">
      <c r="E131" s="463"/>
      <c r="F131" s="464"/>
      <c r="G131" s="463"/>
    </row>
    <row r="132" spans="5:7">
      <c r="E132" s="463"/>
      <c r="F132" s="464"/>
      <c r="G132" s="463"/>
    </row>
    <row r="133" spans="5:7">
      <c r="E133" s="463"/>
      <c r="F133" s="464"/>
      <c r="G133" s="463"/>
    </row>
    <row r="134" spans="5:7">
      <c r="E134" s="463"/>
      <c r="F134" s="464"/>
      <c r="G134" s="463"/>
    </row>
    <row r="135" spans="5:7">
      <c r="E135" s="463"/>
      <c r="F135" s="464"/>
      <c r="G135" s="463"/>
    </row>
    <row r="136" spans="5:7">
      <c r="E136" s="463"/>
      <c r="F136" s="464"/>
      <c r="G136" s="463"/>
    </row>
    <row r="137" spans="5:7">
      <c r="E137" s="463"/>
      <c r="F137" s="464"/>
      <c r="G137" s="463"/>
    </row>
    <row r="138" spans="5:7">
      <c r="E138" s="463"/>
      <c r="F138" s="464"/>
      <c r="G138" s="463"/>
    </row>
    <row r="139" spans="5:7">
      <c r="E139" s="463"/>
      <c r="F139" s="464"/>
      <c r="G139" s="463"/>
    </row>
    <row r="140" spans="5:7">
      <c r="E140" s="463"/>
      <c r="F140" s="464"/>
      <c r="G140" s="463"/>
    </row>
    <row r="141" spans="5:7">
      <c r="E141" s="463"/>
      <c r="F141" s="464"/>
      <c r="G141" s="463"/>
    </row>
    <row r="142" spans="5:7">
      <c r="E142" s="463"/>
      <c r="F142" s="464"/>
      <c r="G142" s="463"/>
    </row>
    <row r="143" spans="5:7">
      <c r="E143" s="463"/>
      <c r="F143" s="464"/>
      <c r="G143" s="463"/>
    </row>
    <row r="144" spans="5:7">
      <c r="E144" s="463"/>
      <c r="F144" s="464"/>
      <c r="G144" s="463"/>
    </row>
    <row r="145" spans="5:7">
      <c r="E145" s="463"/>
      <c r="F145" s="464"/>
      <c r="G145" s="463"/>
    </row>
    <row r="146" spans="5:7">
      <c r="E146" s="463"/>
      <c r="F146" s="464"/>
      <c r="G146" s="463"/>
    </row>
    <row r="147" spans="5:7">
      <c r="E147" s="463"/>
      <c r="F147" s="464"/>
      <c r="G147" s="463"/>
    </row>
    <row r="148" spans="5:7">
      <c r="E148" s="463"/>
      <c r="F148" s="464"/>
      <c r="G148" s="463"/>
    </row>
    <row r="149" spans="5:7">
      <c r="E149" s="463"/>
      <c r="F149" s="464"/>
      <c r="G149" s="463"/>
    </row>
    <row r="150" spans="5:7">
      <c r="E150" s="463"/>
      <c r="F150" s="464"/>
      <c r="G150" s="463"/>
    </row>
    <row r="151" spans="5:7">
      <c r="E151" s="463"/>
      <c r="F151" s="464"/>
      <c r="G151" s="463"/>
    </row>
    <row r="152" spans="5:7">
      <c r="E152" s="463"/>
      <c r="F152" s="464"/>
      <c r="G152" s="463"/>
    </row>
    <row r="153" spans="5:7">
      <c r="E153" s="463"/>
      <c r="F153" s="464"/>
      <c r="G153" s="463"/>
    </row>
    <row r="154" spans="5:7">
      <c r="E154" s="463"/>
      <c r="F154" s="464"/>
      <c r="G154" s="463"/>
    </row>
    <row r="155" spans="5:7">
      <c r="E155" s="463"/>
      <c r="F155" s="464"/>
      <c r="G155" s="463"/>
    </row>
    <row r="156" spans="5:7">
      <c r="E156" s="463"/>
      <c r="F156" s="464"/>
      <c r="G156" s="463"/>
    </row>
    <row r="157" spans="5:7">
      <c r="E157" s="463"/>
      <c r="F157" s="464"/>
      <c r="G157" s="463"/>
    </row>
    <row r="158" spans="5:7">
      <c r="E158" s="463"/>
      <c r="F158" s="464"/>
      <c r="G158" s="463"/>
    </row>
    <row r="159" spans="5:7">
      <c r="E159" s="463"/>
      <c r="F159" s="464"/>
      <c r="G159" s="463"/>
    </row>
    <row r="160" spans="5:7">
      <c r="E160" s="463"/>
      <c r="F160" s="464"/>
      <c r="G160" s="463"/>
    </row>
    <row r="161" spans="5:7">
      <c r="E161" s="463"/>
      <c r="F161" s="464"/>
      <c r="G161" s="463"/>
    </row>
    <row r="162" spans="5:7">
      <c r="E162" s="463"/>
      <c r="F162" s="464"/>
      <c r="G162" s="463"/>
    </row>
    <row r="163" spans="5:7">
      <c r="E163" s="463"/>
      <c r="F163" s="464"/>
      <c r="G163" s="463"/>
    </row>
    <row r="164" spans="5:7">
      <c r="E164" s="463"/>
      <c r="F164" s="464"/>
      <c r="G164" s="463"/>
    </row>
    <row r="165" spans="5:7">
      <c r="E165" s="463"/>
      <c r="F165" s="464"/>
      <c r="G165" s="463"/>
    </row>
    <row r="166" spans="5:7">
      <c r="E166" s="463"/>
      <c r="F166" s="464"/>
      <c r="G166" s="463"/>
    </row>
    <row r="167" spans="5:7">
      <c r="E167" s="463"/>
      <c r="F167" s="464"/>
      <c r="G167" s="463"/>
    </row>
    <row r="168" spans="5:7">
      <c r="E168" s="463"/>
      <c r="F168" s="464"/>
      <c r="G168" s="463"/>
    </row>
    <row r="169" spans="5:7">
      <c r="E169" s="463"/>
      <c r="F169" s="464"/>
      <c r="G169" s="463"/>
    </row>
    <row r="170" spans="5:7">
      <c r="E170" s="463"/>
      <c r="F170" s="464"/>
      <c r="G170" s="463"/>
    </row>
    <row r="171" spans="5:7">
      <c r="E171" s="463"/>
      <c r="F171" s="464"/>
      <c r="G171" s="463"/>
    </row>
    <row r="172" spans="5:7">
      <c r="E172" s="463"/>
      <c r="F172" s="464"/>
      <c r="G172" s="463"/>
    </row>
    <row r="173" spans="5:7">
      <c r="E173" s="463"/>
      <c r="F173" s="464"/>
      <c r="G173" s="463"/>
    </row>
    <row r="174" spans="5:7">
      <c r="E174" s="463"/>
      <c r="F174" s="464"/>
      <c r="G174" s="463"/>
    </row>
    <row r="175" spans="5:7">
      <c r="E175" s="463"/>
      <c r="F175" s="464"/>
      <c r="G175" s="463"/>
    </row>
    <row r="176" spans="5:7">
      <c r="E176" s="463"/>
      <c r="F176" s="464"/>
      <c r="G176" s="463"/>
    </row>
    <row r="177" spans="5:7">
      <c r="E177" s="463"/>
      <c r="F177" s="464"/>
      <c r="G177" s="463"/>
    </row>
    <row r="178" spans="5:7">
      <c r="E178" s="463"/>
      <c r="F178" s="464"/>
      <c r="G178" s="463"/>
    </row>
    <row r="179" spans="5:7">
      <c r="E179" s="463"/>
      <c r="F179" s="464"/>
      <c r="G179" s="463"/>
    </row>
    <row r="180" spans="5:7">
      <c r="E180" s="463"/>
      <c r="F180" s="464"/>
      <c r="G180" s="463"/>
    </row>
    <row r="181" spans="5:7">
      <c r="E181" s="463"/>
      <c r="F181" s="464"/>
      <c r="G181" s="463"/>
    </row>
    <row r="182" spans="5:7">
      <c r="E182" s="463"/>
      <c r="F182" s="464"/>
      <c r="G182" s="463"/>
    </row>
    <row r="183" spans="5:7">
      <c r="E183" s="463"/>
      <c r="F183" s="464"/>
      <c r="G183" s="463"/>
    </row>
    <row r="184" spans="5:7">
      <c r="E184" s="463"/>
      <c r="F184" s="464"/>
      <c r="G184" s="463"/>
    </row>
    <row r="185" spans="5:7">
      <c r="E185" s="463"/>
      <c r="F185" s="464"/>
      <c r="G185" s="463"/>
    </row>
    <row r="186" spans="5:7">
      <c r="E186" s="463"/>
      <c r="F186" s="464"/>
      <c r="G186" s="463"/>
    </row>
    <row r="187" spans="5:7">
      <c r="E187" s="463"/>
      <c r="F187" s="464"/>
      <c r="G187" s="463"/>
    </row>
    <row r="188" spans="5:7">
      <c r="E188" s="463"/>
      <c r="F188" s="464"/>
      <c r="G188" s="463"/>
    </row>
    <row r="189" spans="5:7">
      <c r="E189" s="463"/>
      <c r="F189" s="464"/>
      <c r="G189" s="463"/>
    </row>
    <row r="190" spans="5:7">
      <c r="E190" s="463"/>
      <c r="F190" s="464"/>
      <c r="G190" s="463"/>
    </row>
    <row r="191" spans="5:7">
      <c r="E191" s="463"/>
      <c r="F191" s="464"/>
      <c r="G191" s="463"/>
    </row>
    <row r="192" spans="5:7">
      <c r="E192" s="463"/>
      <c r="F192" s="464"/>
      <c r="G192" s="463"/>
    </row>
    <row r="193" spans="5:7">
      <c r="E193" s="463"/>
      <c r="F193" s="464"/>
      <c r="G193" s="463"/>
    </row>
    <row r="194" spans="5:7">
      <c r="E194" s="463"/>
      <c r="F194" s="464"/>
      <c r="G194" s="463"/>
    </row>
    <row r="195" spans="5:7">
      <c r="E195" s="463"/>
      <c r="F195" s="464"/>
      <c r="G195" s="463"/>
    </row>
    <row r="196" spans="5:7">
      <c r="E196" s="463"/>
      <c r="F196" s="464"/>
      <c r="G196" s="463"/>
    </row>
    <row r="197" spans="5:7">
      <c r="E197" s="463"/>
      <c r="F197" s="464"/>
      <c r="G197" s="463"/>
    </row>
    <row r="198" spans="5:7">
      <c r="E198" s="463"/>
      <c r="F198" s="464"/>
      <c r="G198" s="463"/>
    </row>
    <row r="199" spans="5:7">
      <c r="E199" s="463"/>
      <c r="F199" s="464"/>
      <c r="G199" s="463"/>
    </row>
    <row r="200" spans="5:7">
      <c r="E200" s="463"/>
      <c r="F200" s="464"/>
      <c r="G200" s="463"/>
    </row>
    <row r="201" spans="5:7">
      <c r="E201" s="463"/>
      <c r="F201" s="464"/>
      <c r="G201" s="463"/>
    </row>
    <row r="202" spans="5:7">
      <c r="E202" s="463"/>
      <c r="F202" s="464"/>
      <c r="G202" s="463"/>
    </row>
    <row r="203" spans="5:7">
      <c r="E203" s="463"/>
      <c r="F203" s="464"/>
      <c r="G203" s="463"/>
    </row>
    <row r="204" spans="5:7">
      <c r="E204" s="463"/>
      <c r="F204" s="464"/>
      <c r="G204" s="463"/>
    </row>
    <row r="205" spans="5:7">
      <c r="E205" s="463"/>
      <c r="F205" s="464"/>
      <c r="G205" s="463"/>
    </row>
    <row r="206" spans="5:7">
      <c r="E206" s="463"/>
      <c r="F206" s="464"/>
      <c r="G206" s="463"/>
    </row>
    <row r="207" spans="5:7">
      <c r="E207" s="463"/>
      <c r="F207" s="464"/>
      <c r="G207" s="463"/>
    </row>
    <row r="208" spans="5:7">
      <c r="E208" s="463"/>
      <c r="F208" s="464"/>
      <c r="G208" s="463"/>
    </row>
    <row r="209" spans="5:7">
      <c r="E209" s="463"/>
      <c r="F209" s="464"/>
      <c r="G209" s="463"/>
    </row>
    <row r="210" spans="5:7">
      <c r="E210" s="463"/>
      <c r="F210" s="464"/>
      <c r="G210" s="463"/>
    </row>
    <row r="211" spans="5:7">
      <c r="E211" s="463"/>
      <c r="F211" s="464"/>
      <c r="G211" s="463"/>
    </row>
    <row r="212" spans="5:7">
      <c r="E212" s="463"/>
      <c r="F212" s="464"/>
      <c r="G212" s="463"/>
    </row>
    <row r="213" spans="5:7">
      <c r="E213" s="463"/>
      <c r="F213" s="464"/>
      <c r="G213" s="463"/>
    </row>
    <row r="214" spans="5:7">
      <c r="E214" s="463"/>
      <c r="F214" s="464"/>
      <c r="G214" s="463"/>
    </row>
    <row r="215" spans="5:7">
      <c r="E215" s="463"/>
      <c r="F215" s="464"/>
      <c r="G215" s="463"/>
    </row>
    <row r="216" spans="5:7">
      <c r="E216" s="463"/>
      <c r="F216" s="464"/>
      <c r="G216" s="463"/>
    </row>
    <row r="217" spans="5:7">
      <c r="E217" s="463"/>
      <c r="F217" s="464"/>
      <c r="G217" s="463"/>
    </row>
    <row r="218" spans="5:7">
      <c r="E218" s="463"/>
      <c r="F218" s="464"/>
      <c r="G218" s="463"/>
    </row>
    <row r="219" spans="5:7">
      <c r="E219" s="463"/>
      <c r="F219" s="464"/>
      <c r="G219" s="463"/>
    </row>
    <row r="220" spans="5:7">
      <c r="E220" s="463"/>
      <c r="F220" s="464"/>
      <c r="G220" s="463"/>
    </row>
    <row r="221" spans="5:7">
      <c r="E221" s="463"/>
      <c r="F221" s="464"/>
      <c r="G221" s="463"/>
    </row>
    <row r="222" spans="5:7">
      <c r="E222" s="463"/>
      <c r="F222" s="464"/>
      <c r="G222" s="463"/>
    </row>
    <row r="223" spans="5:7">
      <c r="E223" s="463"/>
      <c r="F223" s="464"/>
      <c r="G223" s="463"/>
    </row>
    <row r="224" spans="5:7">
      <c r="E224" s="463"/>
      <c r="F224" s="464"/>
      <c r="G224" s="463"/>
    </row>
    <row r="225" spans="5:7">
      <c r="E225" s="463"/>
      <c r="F225" s="464"/>
      <c r="G225" s="463"/>
    </row>
    <row r="226" spans="5:7">
      <c r="E226" s="463"/>
      <c r="F226" s="464"/>
      <c r="G226" s="463"/>
    </row>
    <row r="227" spans="5:7">
      <c r="E227" s="463"/>
      <c r="F227" s="464"/>
      <c r="G227" s="463"/>
    </row>
    <row r="228" spans="5:7">
      <c r="E228" s="463"/>
      <c r="F228" s="464"/>
      <c r="G228" s="463"/>
    </row>
    <row r="229" spans="5:7">
      <c r="E229" s="463"/>
      <c r="F229" s="464"/>
      <c r="G229" s="463"/>
    </row>
    <row r="230" spans="5:7">
      <c r="E230" s="463"/>
      <c r="F230" s="464"/>
      <c r="G230" s="463"/>
    </row>
    <row r="231" spans="5:7">
      <c r="E231" s="463"/>
      <c r="F231" s="464"/>
      <c r="G231" s="463"/>
    </row>
    <row r="232" spans="5:7">
      <c r="E232" s="463"/>
      <c r="F232" s="464"/>
      <c r="G232" s="463"/>
    </row>
    <row r="233" spans="5:7">
      <c r="E233" s="463"/>
      <c r="F233" s="464"/>
      <c r="G233" s="463"/>
    </row>
    <row r="234" spans="5:7">
      <c r="E234" s="463"/>
      <c r="F234" s="464"/>
      <c r="G234" s="463"/>
    </row>
    <row r="235" spans="5:7">
      <c r="E235" s="463"/>
      <c r="F235" s="464"/>
      <c r="G235" s="463"/>
    </row>
    <row r="236" spans="5:7">
      <c r="E236" s="463"/>
      <c r="F236" s="464"/>
      <c r="G236" s="463"/>
    </row>
    <row r="237" spans="5:7">
      <c r="E237" s="463"/>
      <c r="F237" s="464"/>
      <c r="G237" s="463"/>
    </row>
    <row r="238" spans="5:7">
      <c r="E238" s="463"/>
      <c r="F238" s="464"/>
      <c r="G238" s="463"/>
    </row>
    <row r="239" spans="5:7">
      <c r="E239" s="463"/>
      <c r="F239" s="464"/>
      <c r="G239" s="463"/>
    </row>
    <row r="240" spans="5:7">
      <c r="E240" s="463"/>
      <c r="F240" s="464"/>
      <c r="G240" s="463"/>
    </row>
    <row r="241" spans="5:7">
      <c r="E241" s="463"/>
      <c r="F241" s="464"/>
      <c r="G241" s="463"/>
    </row>
    <row r="242" spans="5:7">
      <c r="E242" s="463"/>
      <c r="F242" s="464"/>
      <c r="G242" s="463"/>
    </row>
    <row r="243" spans="5:7">
      <c r="E243" s="463"/>
      <c r="F243" s="464"/>
      <c r="G243" s="463"/>
    </row>
    <row r="244" spans="5:7">
      <c r="E244" s="463"/>
      <c r="F244" s="464"/>
      <c r="G244" s="463"/>
    </row>
    <row r="245" spans="5:7">
      <c r="E245" s="463"/>
      <c r="F245" s="464"/>
      <c r="G245" s="463"/>
    </row>
    <row r="246" spans="5:7">
      <c r="E246" s="463"/>
      <c r="F246" s="464"/>
      <c r="G246" s="463"/>
    </row>
    <row r="247" spans="5:7">
      <c r="E247" s="463"/>
      <c r="F247" s="464"/>
      <c r="G247" s="463"/>
    </row>
    <row r="248" spans="5:7">
      <c r="E248" s="463"/>
      <c r="F248" s="464"/>
      <c r="G248" s="463"/>
    </row>
    <row r="249" spans="5:7">
      <c r="E249" s="463"/>
      <c r="F249" s="464"/>
      <c r="G249" s="463"/>
    </row>
    <row r="250" spans="5:7">
      <c r="E250" s="463"/>
      <c r="F250" s="464"/>
      <c r="G250" s="463"/>
    </row>
    <row r="251" spans="5:7">
      <c r="E251" s="463"/>
      <c r="F251" s="464"/>
      <c r="G251" s="463"/>
    </row>
    <row r="252" spans="5:7">
      <c r="E252" s="463"/>
      <c r="F252" s="464"/>
      <c r="G252" s="463"/>
    </row>
    <row r="253" spans="5:7">
      <c r="E253" s="463"/>
      <c r="F253" s="464"/>
      <c r="G253" s="463"/>
    </row>
    <row r="254" spans="5:7">
      <c r="E254" s="463"/>
      <c r="F254" s="464"/>
      <c r="G254" s="463"/>
    </row>
    <row r="255" spans="5:7">
      <c r="E255" s="463"/>
      <c r="F255" s="464"/>
      <c r="G255" s="463"/>
    </row>
    <row r="256" spans="5:7">
      <c r="E256" s="463"/>
      <c r="F256" s="464"/>
      <c r="G256" s="463"/>
    </row>
    <row r="257" spans="5:7">
      <c r="E257" s="463"/>
      <c r="F257" s="464"/>
      <c r="G257" s="463"/>
    </row>
    <row r="258" spans="5:7">
      <c r="E258" s="463"/>
      <c r="F258" s="464"/>
      <c r="G258" s="463"/>
    </row>
    <row r="259" spans="5:7">
      <c r="E259" s="463"/>
      <c r="F259" s="464"/>
      <c r="G259" s="463"/>
    </row>
    <row r="260" spans="5:7">
      <c r="E260" s="463"/>
      <c r="F260" s="464"/>
      <c r="G260" s="463"/>
    </row>
    <row r="261" spans="5:7">
      <c r="E261" s="463"/>
      <c r="F261" s="464"/>
      <c r="G261" s="463"/>
    </row>
    <row r="262" spans="5:7">
      <c r="E262" s="463"/>
      <c r="F262" s="464"/>
      <c r="G262" s="463"/>
    </row>
    <row r="263" spans="5:7">
      <c r="E263" s="463"/>
      <c r="F263" s="464"/>
      <c r="G263" s="463"/>
    </row>
    <row r="264" spans="5:7">
      <c r="E264" s="463"/>
      <c r="F264" s="464"/>
      <c r="G264" s="463"/>
    </row>
    <row r="265" spans="5:7">
      <c r="E265" s="463"/>
      <c r="F265" s="464"/>
      <c r="G265" s="463"/>
    </row>
    <row r="266" spans="5:7">
      <c r="E266" s="463"/>
      <c r="F266" s="464"/>
      <c r="G266" s="463"/>
    </row>
    <row r="267" spans="5:7">
      <c r="E267" s="463"/>
      <c r="F267" s="464"/>
      <c r="G267" s="463"/>
    </row>
    <row r="268" spans="5:7">
      <c r="E268" s="463"/>
      <c r="F268" s="464"/>
      <c r="G268" s="463"/>
    </row>
    <row r="269" spans="5:7">
      <c r="E269" s="463"/>
      <c r="F269" s="464"/>
      <c r="G269" s="463"/>
    </row>
    <row r="270" spans="5:7">
      <c r="E270" s="463"/>
      <c r="F270" s="464"/>
      <c r="G270" s="463"/>
    </row>
    <row r="271" spans="5:7">
      <c r="E271" s="463"/>
      <c r="F271" s="464"/>
      <c r="G271" s="463"/>
    </row>
    <row r="272" spans="5:7">
      <c r="E272" s="463"/>
      <c r="F272" s="464"/>
      <c r="G272" s="463"/>
    </row>
    <row r="273" spans="5:7">
      <c r="E273" s="463"/>
      <c r="F273" s="464"/>
      <c r="G273" s="463"/>
    </row>
    <row r="274" spans="5:7">
      <c r="E274" s="463"/>
      <c r="F274" s="464"/>
      <c r="G274" s="463"/>
    </row>
    <row r="275" spans="5:7">
      <c r="E275" s="463"/>
      <c r="F275" s="464"/>
      <c r="G275" s="463"/>
    </row>
    <row r="276" spans="5:7">
      <c r="E276" s="463"/>
      <c r="F276" s="464"/>
      <c r="G276" s="463"/>
    </row>
    <row r="277" spans="5:7">
      <c r="E277" s="463"/>
      <c r="F277" s="464"/>
      <c r="G277" s="463"/>
    </row>
    <row r="278" spans="5:7">
      <c r="E278" s="463"/>
      <c r="F278" s="464"/>
      <c r="G278" s="463"/>
    </row>
    <row r="279" spans="5:7">
      <c r="E279" s="463"/>
      <c r="F279" s="464"/>
      <c r="G279" s="463"/>
    </row>
    <row r="280" spans="5:7">
      <c r="E280" s="463"/>
      <c r="F280" s="464"/>
      <c r="G280" s="463"/>
    </row>
    <row r="281" spans="5:7">
      <c r="E281" s="463"/>
      <c r="F281" s="464"/>
      <c r="G281" s="463"/>
    </row>
    <row r="282" spans="5:7">
      <c r="E282" s="463"/>
      <c r="F282" s="464"/>
      <c r="G282" s="463"/>
    </row>
    <row r="283" spans="5:7">
      <c r="E283" s="463"/>
      <c r="F283" s="464"/>
      <c r="G283" s="463"/>
    </row>
    <row r="284" spans="5:7">
      <c r="E284" s="463"/>
      <c r="F284" s="464"/>
      <c r="G284" s="463"/>
    </row>
    <row r="285" spans="5:7">
      <c r="E285" s="463"/>
      <c r="F285" s="464"/>
      <c r="G285" s="463"/>
    </row>
    <row r="286" spans="5:7">
      <c r="E286" s="463"/>
      <c r="F286" s="464"/>
      <c r="G286" s="463"/>
    </row>
    <row r="287" spans="5:7">
      <c r="E287" s="463"/>
      <c r="F287" s="464"/>
      <c r="G287" s="463"/>
    </row>
    <row r="288" spans="5:7">
      <c r="E288" s="463"/>
      <c r="F288" s="464"/>
      <c r="G288" s="463"/>
    </row>
    <row r="289" spans="5:7">
      <c r="E289" s="463"/>
      <c r="F289" s="464"/>
      <c r="G289" s="463"/>
    </row>
    <row r="290" spans="5:7">
      <c r="E290" s="463"/>
      <c r="F290" s="464"/>
      <c r="G290" s="463"/>
    </row>
    <row r="291" spans="5:7">
      <c r="E291" s="463"/>
      <c r="F291" s="464"/>
      <c r="G291" s="463"/>
    </row>
    <row r="292" spans="5:7">
      <c r="E292" s="463"/>
      <c r="F292" s="464"/>
      <c r="G292" s="463"/>
    </row>
    <row r="293" spans="5:7">
      <c r="E293" s="463"/>
      <c r="F293" s="464"/>
      <c r="G293" s="463"/>
    </row>
    <row r="294" spans="5:7">
      <c r="E294" s="463"/>
      <c r="F294" s="464"/>
      <c r="G294" s="463"/>
    </row>
    <row r="295" spans="5:7">
      <c r="E295" s="463"/>
      <c r="F295" s="464"/>
      <c r="G295" s="463"/>
    </row>
    <row r="296" spans="5:7">
      <c r="E296" s="463"/>
      <c r="F296" s="464"/>
      <c r="G296" s="463"/>
    </row>
    <row r="297" spans="5:7">
      <c r="E297" s="463"/>
      <c r="F297" s="464"/>
      <c r="G297" s="463"/>
    </row>
    <row r="298" spans="5:7">
      <c r="E298" s="463"/>
      <c r="F298" s="464"/>
      <c r="G298" s="463"/>
    </row>
    <row r="299" spans="5:7">
      <c r="E299" s="463"/>
      <c r="F299" s="464"/>
      <c r="G299" s="463"/>
    </row>
    <row r="300" spans="5:7">
      <c r="E300" s="463"/>
      <c r="F300" s="464"/>
      <c r="G300" s="463"/>
    </row>
    <row r="301" spans="5:7">
      <c r="E301" s="463"/>
      <c r="F301" s="464"/>
      <c r="G301" s="463"/>
    </row>
    <row r="302" spans="5:7">
      <c r="E302" s="463"/>
      <c r="F302" s="464"/>
      <c r="G302" s="463"/>
    </row>
    <row r="303" spans="5:7">
      <c r="E303" s="463"/>
      <c r="F303" s="464"/>
      <c r="G303" s="463"/>
    </row>
    <row r="304" spans="5:7">
      <c r="E304" s="463"/>
      <c r="F304" s="464"/>
      <c r="G304" s="463"/>
    </row>
    <row r="305" spans="5:7">
      <c r="E305" s="463"/>
      <c r="F305" s="464"/>
      <c r="G305" s="463"/>
    </row>
    <row r="306" spans="5:7">
      <c r="E306" s="463"/>
      <c r="F306" s="464"/>
      <c r="G306" s="463"/>
    </row>
    <row r="307" spans="5:7">
      <c r="E307" s="463"/>
      <c r="F307" s="464"/>
      <c r="G307" s="463"/>
    </row>
    <row r="308" spans="5:7">
      <c r="E308" s="463"/>
      <c r="F308" s="464"/>
      <c r="G308" s="463"/>
    </row>
    <row r="309" spans="5:7">
      <c r="E309" s="463"/>
      <c r="F309" s="464"/>
      <c r="G309" s="463"/>
    </row>
    <row r="310" spans="5:7">
      <c r="E310" s="463"/>
      <c r="F310" s="464"/>
      <c r="G310" s="463"/>
    </row>
    <row r="311" spans="5:7">
      <c r="E311" s="463"/>
      <c r="F311" s="464"/>
      <c r="G311" s="463"/>
    </row>
    <row r="312" spans="5:7">
      <c r="E312" s="463"/>
      <c r="F312" s="464"/>
      <c r="G312" s="463"/>
    </row>
    <row r="313" spans="5:7">
      <c r="E313" s="463"/>
      <c r="F313" s="464"/>
      <c r="G313" s="463"/>
    </row>
    <row r="314" spans="5:7">
      <c r="E314" s="463"/>
      <c r="F314" s="464"/>
      <c r="G314" s="463"/>
    </row>
    <row r="315" spans="5:7">
      <c r="E315" s="463"/>
      <c r="F315" s="464"/>
      <c r="G315" s="463"/>
    </row>
    <row r="316" spans="5:7">
      <c r="E316" s="463"/>
      <c r="F316" s="464"/>
      <c r="G316" s="463"/>
    </row>
    <row r="317" spans="5:7">
      <c r="E317" s="463"/>
      <c r="F317" s="464"/>
      <c r="G317" s="463"/>
    </row>
    <row r="318" spans="5:7">
      <c r="E318" s="463"/>
      <c r="F318" s="464"/>
      <c r="G318" s="463"/>
    </row>
    <row r="319" spans="5:7">
      <c r="E319" s="463"/>
      <c r="F319" s="464"/>
      <c r="G319" s="463"/>
    </row>
    <row r="320" spans="5:7">
      <c r="E320" s="463"/>
      <c r="F320" s="464"/>
      <c r="G320" s="463"/>
    </row>
    <row r="321" spans="5:7">
      <c r="E321" s="463"/>
      <c r="F321" s="464"/>
      <c r="G321" s="463"/>
    </row>
    <row r="322" spans="5:7">
      <c r="E322" s="463"/>
      <c r="F322" s="464"/>
      <c r="G322" s="463"/>
    </row>
    <row r="323" spans="5:7">
      <c r="E323" s="463"/>
      <c r="F323" s="464"/>
      <c r="G323" s="463"/>
    </row>
    <row r="324" spans="5:7">
      <c r="E324" s="463"/>
      <c r="F324" s="464"/>
      <c r="G324" s="463"/>
    </row>
    <row r="325" spans="5:7">
      <c r="E325" s="463"/>
      <c r="F325" s="464"/>
      <c r="G325" s="463"/>
    </row>
    <row r="326" spans="5:7">
      <c r="E326" s="463"/>
      <c r="F326" s="464"/>
      <c r="G326" s="463"/>
    </row>
    <row r="327" spans="5:7">
      <c r="E327" s="463"/>
      <c r="F327" s="464"/>
      <c r="G327" s="463"/>
    </row>
    <row r="328" spans="5:7">
      <c r="E328" s="463"/>
      <c r="F328" s="464"/>
      <c r="G328" s="463"/>
    </row>
    <row r="329" spans="5:7">
      <c r="E329" s="463"/>
      <c r="F329" s="464"/>
      <c r="G329" s="463"/>
    </row>
    <row r="330" spans="5:7">
      <c r="E330" s="463"/>
      <c r="F330" s="464"/>
      <c r="G330" s="463"/>
    </row>
    <row r="331" spans="5:7">
      <c r="E331" s="463"/>
      <c r="F331" s="464"/>
      <c r="G331" s="463"/>
    </row>
    <row r="332" spans="5:7">
      <c r="E332" s="463"/>
      <c r="F332" s="464"/>
      <c r="G332" s="463"/>
    </row>
    <row r="333" spans="5:7">
      <c r="E333" s="463"/>
      <c r="F333" s="464"/>
      <c r="G333" s="463"/>
    </row>
    <row r="334" spans="5:7">
      <c r="E334" s="463"/>
      <c r="F334" s="464"/>
      <c r="G334" s="463"/>
    </row>
    <row r="335" spans="5:7">
      <c r="E335" s="463"/>
      <c r="F335" s="464"/>
      <c r="G335" s="463"/>
    </row>
    <row r="336" spans="5:7">
      <c r="E336" s="463"/>
      <c r="F336" s="464"/>
      <c r="G336" s="463"/>
    </row>
    <row r="337" spans="5:7">
      <c r="E337" s="463"/>
      <c r="F337" s="464"/>
      <c r="G337" s="463"/>
    </row>
    <row r="338" spans="5:7">
      <c r="E338" s="463"/>
      <c r="F338" s="464"/>
      <c r="G338" s="463"/>
    </row>
    <row r="339" spans="5:7">
      <c r="E339" s="463"/>
      <c r="F339" s="464"/>
      <c r="G339" s="463"/>
    </row>
    <row r="340" spans="5:7">
      <c r="E340" s="463"/>
      <c r="F340" s="464"/>
      <c r="G340" s="463"/>
    </row>
    <row r="341" spans="5:7">
      <c r="E341" s="463"/>
      <c r="F341" s="464"/>
      <c r="G341" s="463"/>
    </row>
    <row r="342" spans="5:7">
      <c r="E342" s="463"/>
      <c r="F342" s="464"/>
      <c r="G342" s="463"/>
    </row>
    <row r="343" spans="5:7">
      <c r="E343" s="463"/>
      <c r="F343" s="464"/>
      <c r="G343" s="463"/>
    </row>
    <row r="344" spans="5:7">
      <c r="E344" s="463"/>
      <c r="F344" s="464"/>
      <c r="G344" s="463"/>
    </row>
    <row r="345" spans="5:7">
      <c r="E345" s="463"/>
      <c r="F345" s="464"/>
      <c r="G345" s="463"/>
    </row>
    <row r="346" spans="5:7">
      <c r="E346" s="463"/>
      <c r="F346" s="464"/>
      <c r="G346" s="463"/>
    </row>
    <row r="347" spans="5:7">
      <c r="E347" s="463"/>
      <c r="F347" s="464"/>
      <c r="G347" s="463"/>
    </row>
    <row r="348" spans="5:7">
      <c r="E348" s="463"/>
      <c r="F348" s="464"/>
      <c r="G348" s="463"/>
    </row>
    <row r="349" spans="5:7">
      <c r="E349" s="463"/>
      <c r="F349" s="464"/>
      <c r="G349" s="463"/>
    </row>
    <row r="350" spans="5:7">
      <c r="E350" s="463"/>
      <c r="F350" s="464"/>
      <c r="G350" s="463"/>
    </row>
    <row r="351" spans="5:7">
      <c r="E351" s="463"/>
      <c r="F351" s="464"/>
      <c r="G351" s="463"/>
    </row>
    <row r="352" spans="5:7">
      <c r="E352" s="463"/>
      <c r="F352" s="464"/>
      <c r="G352" s="463"/>
    </row>
    <row r="353" spans="5:7">
      <c r="E353" s="463"/>
      <c r="F353" s="464"/>
      <c r="G353" s="463"/>
    </row>
    <row r="354" spans="5:7">
      <c r="E354" s="463"/>
      <c r="F354" s="464"/>
      <c r="G354" s="463"/>
    </row>
    <row r="355" spans="5:7">
      <c r="E355" s="463"/>
      <c r="F355" s="464"/>
      <c r="G355" s="463"/>
    </row>
    <row r="356" spans="5:7">
      <c r="E356" s="463"/>
      <c r="F356" s="464"/>
      <c r="G356" s="463"/>
    </row>
    <row r="357" spans="5:7">
      <c r="E357" s="463"/>
      <c r="F357" s="464"/>
      <c r="G357" s="463"/>
    </row>
    <row r="358" spans="5:7">
      <c r="E358" s="463"/>
      <c r="F358" s="464"/>
      <c r="G358" s="463"/>
    </row>
    <row r="359" spans="5:7">
      <c r="E359" s="463"/>
      <c r="F359" s="464"/>
      <c r="G359" s="463"/>
    </row>
    <row r="360" spans="5:7">
      <c r="E360" s="463"/>
      <c r="F360" s="464"/>
      <c r="G360" s="463"/>
    </row>
    <row r="361" spans="5:7">
      <c r="E361" s="463"/>
      <c r="F361" s="464"/>
      <c r="G361" s="463"/>
    </row>
    <row r="362" spans="5:7">
      <c r="E362" s="463"/>
      <c r="F362" s="464"/>
      <c r="G362" s="463"/>
    </row>
    <row r="363" spans="5:7">
      <c r="E363" s="463"/>
      <c r="F363" s="464"/>
      <c r="G363" s="463"/>
    </row>
    <row r="364" spans="5:7">
      <c r="E364" s="463"/>
      <c r="F364" s="464"/>
      <c r="G364" s="463"/>
    </row>
    <row r="365" spans="5:7">
      <c r="E365" s="463"/>
      <c r="F365" s="464"/>
      <c r="G365" s="463"/>
    </row>
    <row r="366" spans="5:7">
      <c r="E366" s="463"/>
      <c r="F366" s="464"/>
      <c r="G366" s="463"/>
    </row>
    <row r="367" spans="5:7">
      <c r="E367" s="463"/>
      <c r="F367" s="464"/>
      <c r="G367" s="463"/>
    </row>
    <row r="368" spans="5:7">
      <c r="E368" s="463"/>
      <c r="F368" s="464"/>
      <c r="G368" s="463"/>
    </row>
    <row r="369" spans="5:7">
      <c r="E369" s="463"/>
      <c r="F369" s="464"/>
      <c r="G369" s="463"/>
    </row>
    <row r="370" spans="5:7">
      <c r="E370" s="463"/>
      <c r="F370" s="464"/>
      <c r="G370" s="463"/>
    </row>
    <row r="371" spans="5:7">
      <c r="E371" s="463"/>
      <c r="F371" s="464"/>
      <c r="G371" s="463"/>
    </row>
    <row r="372" spans="5:7">
      <c r="E372" s="463"/>
      <c r="F372" s="464"/>
      <c r="G372" s="463"/>
    </row>
    <row r="373" spans="5:7">
      <c r="E373" s="463"/>
      <c r="F373" s="464"/>
      <c r="G373" s="463"/>
    </row>
    <row r="374" spans="5:7">
      <c r="E374" s="463"/>
      <c r="F374" s="464"/>
      <c r="G374" s="463"/>
    </row>
    <row r="375" spans="5:7">
      <c r="E375" s="463"/>
      <c r="F375" s="464"/>
      <c r="G375" s="463"/>
    </row>
    <row r="376" spans="5:7">
      <c r="E376" s="463"/>
      <c r="F376" s="464"/>
      <c r="G376" s="463"/>
    </row>
    <row r="377" spans="5:7">
      <c r="E377" s="463"/>
      <c r="F377" s="464"/>
      <c r="G377" s="463"/>
    </row>
    <row r="378" spans="5:7">
      <c r="E378" s="463"/>
      <c r="F378" s="464"/>
      <c r="G378" s="463"/>
    </row>
    <row r="379" spans="5:7">
      <c r="E379" s="463"/>
      <c r="F379" s="464"/>
      <c r="G379" s="463"/>
    </row>
    <row r="380" spans="5:7">
      <c r="E380" s="463"/>
      <c r="F380" s="464"/>
      <c r="G380" s="463"/>
    </row>
    <row r="381" spans="5:7">
      <c r="E381" s="463"/>
      <c r="F381" s="464"/>
      <c r="G381" s="463"/>
    </row>
    <row r="382" spans="5:7">
      <c r="E382" s="463"/>
      <c r="F382" s="464"/>
      <c r="G382" s="463"/>
    </row>
    <row r="383" spans="5:7">
      <c r="E383" s="463"/>
      <c r="F383" s="464"/>
      <c r="G383" s="463"/>
    </row>
    <row r="384" spans="5:7">
      <c r="E384" s="463"/>
      <c r="F384" s="464"/>
      <c r="G384" s="463"/>
    </row>
    <row r="385" spans="5:7">
      <c r="E385" s="463"/>
      <c r="F385" s="464"/>
      <c r="G385" s="463"/>
    </row>
    <row r="386" spans="5:7">
      <c r="E386" s="463"/>
      <c r="F386" s="464"/>
      <c r="G386" s="463"/>
    </row>
    <row r="387" spans="5:7">
      <c r="E387" s="463"/>
      <c r="F387" s="464"/>
      <c r="G387" s="463"/>
    </row>
    <row r="388" spans="5:7">
      <c r="E388" s="463"/>
      <c r="F388" s="464"/>
      <c r="G388" s="463"/>
    </row>
    <row r="389" spans="5:7">
      <c r="E389" s="463"/>
      <c r="F389" s="464"/>
      <c r="G389" s="463"/>
    </row>
    <row r="390" spans="5:7">
      <c r="E390" s="463"/>
      <c r="F390" s="464"/>
      <c r="G390" s="463"/>
    </row>
    <row r="391" spans="5:7">
      <c r="E391" s="463"/>
      <c r="F391" s="464"/>
      <c r="G391" s="463"/>
    </row>
    <row r="392" spans="5:7">
      <c r="E392" s="463"/>
      <c r="F392" s="464"/>
      <c r="G392" s="463"/>
    </row>
    <row r="393" spans="5:7">
      <c r="E393" s="463"/>
      <c r="F393" s="464"/>
      <c r="G393" s="463"/>
    </row>
    <row r="394" spans="5:7">
      <c r="E394" s="463"/>
      <c r="F394" s="464"/>
      <c r="G394" s="463"/>
    </row>
    <row r="395" spans="5:7">
      <c r="E395" s="463"/>
      <c r="F395" s="464"/>
      <c r="G395" s="463"/>
    </row>
    <row r="396" spans="5:7">
      <c r="E396" s="463"/>
      <c r="F396" s="464"/>
      <c r="G396" s="463"/>
    </row>
    <row r="397" spans="5:7">
      <c r="E397" s="463"/>
      <c r="F397" s="464"/>
      <c r="G397" s="463"/>
    </row>
    <row r="398" spans="5:7">
      <c r="E398" s="463"/>
      <c r="F398" s="464"/>
      <c r="G398" s="463"/>
    </row>
    <row r="399" spans="5:7">
      <c r="E399" s="463"/>
      <c r="F399" s="464"/>
      <c r="G399" s="463"/>
    </row>
    <row r="400" spans="5:7">
      <c r="E400" s="463"/>
      <c r="F400" s="464"/>
      <c r="G400" s="463"/>
    </row>
    <row r="401" spans="5:7">
      <c r="E401" s="463"/>
      <c r="F401" s="464"/>
      <c r="G401" s="463"/>
    </row>
    <row r="402" spans="5:7">
      <c r="E402" s="463"/>
      <c r="F402" s="464"/>
      <c r="G402" s="463"/>
    </row>
    <row r="403" spans="5:7">
      <c r="E403" s="463"/>
      <c r="F403" s="464"/>
      <c r="G403" s="463"/>
    </row>
    <row r="404" spans="5:7">
      <c r="E404" s="463"/>
      <c r="F404" s="464"/>
      <c r="G404" s="463"/>
    </row>
    <row r="405" spans="5:7">
      <c r="E405" s="463"/>
      <c r="F405" s="464"/>
      <c r="G405" s="463"/>
    </row>
    <row r="406" spans="5:7">
      <c r="E406" s="463"/>
      <c r="F406" s="464"/>
      <c r="G406" s="463"/>
    </row>
    <row r="407" spans="5:7">
      <c r="E407" s="463"/>
      <c r="F407" s="464"/>
      <c r="G407" s="463"/>
    </row>
    <row r="408" spans="5:7">
      <c r="E408" s="463"/>
      <c r="F408" s="464"/>
      <c r="G408" s="463"/>
    </row>
    <row r="409" spans="5:7">
      <c r="E409" s="463"/>
      <c r="F409" s="464"/>
      <c r="G409" s="463"/>
    </row>
    <row r="410" spans="5:7">
      <c r="E410" s="463"/>
      <c r="F410" s="464"/>
      <c r="G410" s="463"/>
    </row>
    <row r="411" spans="5:7">
      <c r="E411" s="463"/>
      <c r="F411" s="464"/>
      <c r="G411" s="463"/>
    </row>
    <row r="412" spans="5:7">
      <c r="E412" s="463"/>
      <c r="F412" s="464"/>
      <c r="G412" s="463"/>
    </row>
    <row r="413" spans="5:7">
      <c r="E413" s="463"/>
      <c r="F413" s="464"/>
      <c r="G413" s="463"/>
    </row>
    <row r="414" spans="5:7">
      <c r="E414" s="463"/>
      <c r="F414" s="464"/>
      <c r="G414" s="463"/>
    </row>
    <row r="415" spans="5:7">
      <c r="E415" s="463"/>
      <c r="F415" s="464"/>
      <c r="G415" s="463"/>
    </row>
    <row r="416" spans="5:7">
      <c r="E416" s="463"/>
      <c r="F416" s="464"/>
      <c r="G416" s="463"/>
    </row>
    <row r="417" spans="5:7">
      <c r="E417" s="463"/>
      <c r="F417" s="464"/>
      <c r="G417" s="463"/>
    </row>
    <row r="418" spans="5:7">
      <c r="E418" s="463"/>
      <c r="F418" s="464"/>
      <c r="G418" s="463"/>
    </row>
    <row r="419" spans="5:7">
      <c r="E419" s="463"/>
      <c r="F419" s="464"/>
      <c r="G419" s="463"/>
    </row>
    <row r="420" spans="5:7">
      <c r="E420" s="463"/>
      <c r="F420" s="464"/>
      <c r="G420" s="463"/>
    </row>
    <row r="421" spans="5:7">
      <c r="E421" s="463"/>
      <c r="F421" s="464"/>
      <c r="G421" s="463"/>
    </row>
    <row r="422" spans="5:7">
      <c r="E422" s="463"/>
      <c r="F422" s="464"/>
      <c r="G422" s="463"/>
    </row>
    <row r="423" spans="5:7">
      <c r="E423" s="463"/>
      <c r="F423" s="464"/>
      <c r="G423" s="463"/>
    </row>
    <row r="424" spans="5:7">
      <c r="E424" s="463"/>
      <c r="F424" s="464"/>
      <c r="G424" s="463"/>
    </row>
    <row r="425" spans="5:7">
      <c r="E425" s="463"/>
      <c r="F425" s="464"/>
      <c r="G425" s="463"/>
    </row>
    <row r="426" spans="5:7">
      <c r="E426" s="463"/>
      <c r="F426" s="464"/>
      <c r="G426" s="463"/>
    </row>
    <row r="427" spans="5:7">
      <c r="E427" s="463"/>
      <c r="F427" s="464"/>
      <c r="G427" s="463"/>
    </row>
    <row r="428" spans="5:7">
      <c r="E428" s="463"/>
      <c r="F428" s="464"/>
      <c r="G428" s="463"/>
    </row>
    <row r="429" spans="5:7">
      <c r="E429" s="463"/>
      <c r="F429" s="464"/>
      <c r="G429" s="463"/>
    </row>
    <row r="430" spans="5:7">
      <c r="E430" s="463"/>
      <c r="F430" s="464"/>
      <c r="G430" s="463"/>
    </row>
    <row r="431" spans="5:7">
      <c r="E431" s="463"/>
      <c r="F431" s="464"/>
      <c r="G431" s="463"/>
    </row>
    <row r="432" spans="5:7">
      <c r="E432" s="463"/>
      <c r="F432" s="464"/>
      <c r="G432" s="463"/>
    </row>
    <row r="433" spans="5:7">
      <c r="E433" s="463"/>
      <c r="F433" s="464"/>
      <c r="G433" s="463"/>
    </row>
    <row r="434" spans="5:7">
      <c r="E434" s="463"/>
      <c r="F434" s="464"/>
      <c r="G434" s="463"/>
    </row>
    <row r="435" spans="5:7">
      <c r="E435" s="463"/>
      <c r="F435" s="464"/>
      <c r="G435" s="463"/>
    </row>
    <row r="436" spans="5:7">
      <c r="E436" s="463"/>
      <c r="F436" s="464"/>
      <c r="G436" s="463"/>
    </row>
    <row r="437" spans="5:7">
      <c r="E437" s="463"/>
      <c r="F437" s="464"/>
      <c r="G437" s="463"/>
    </row>
    <row r="438" spans="5:7">
      <c r="E438" s="463"/>
      <c r="F438" s="464"/>
      <c r="G438" s="463"/>
    </row>
    <row r="439" spans="5:7">
      <c r="E439" s="463"/>
      <c r="F439" s="464"/>
      <c r="G439" s="463"/>
    </row>
    <row r="440" spans="5:7">
      <c r="E440" s="463"/>
      <c r="F440" s="464"/>
      <c r="G440" s="463"/>
    </row>
    <row r="441" spans="5:7">
      <c r="E441" s="463"/>
      <c r="F441" s="464"/>
      <c r="G441" s="463"/>
    </row>
    <row r="442" spans="5:7">
      <c r="E442" s="463"/>
      <c r="F442" s="464"/>
      <c r="G442" s="463"/>
    </row>
    <row r="443" spans="5:7">
      <c r="E443" s="463"/>
      <c r="F443" s="464"/>
      <c r="G443" s="463"/>
    </row>
    <row r="444" spans="5:7">
      <c r="E444" s="463"/>
      <c r="F444" s="464"/>
      <c r="G444" s="463"/>
    </row>
    <row r="445" spans="5:7">
      <c r="E445" s="463"/>
      <c r="F445" s="464"/>
      <c r="G445" s="463"/>
    </row>
    <row r="446" spans="5:7">
      <c r="E446" s="463"/>
      <c r="F446" s="464"/>
      <c r="G446" s="463"/>
    </row>
    <row r="447" spans="5:7">
      <c r="E447" s="463"/>
      <c r="F447" s="464"/>
      <c r="G447" s="463"/>
    </row>
    <row r="448" spans="5:7">
      <c r="E448" s="463"/>
      <c r="F448" s="464"/>
      <c r="G448" s="463"/>
    </row>
    <row r="449" spans="5:7">
      <c r="E449" s="463"/>
      <c r="F449" s="464"/>
      <c r="G449" s="463"/>
    </row>
    <row r="450" spans="5:7">
      <c r="E450" s="463"/>
      <c r="F450" s="464"/>
      <c r="G450" s="463"/>
    </row>
    <row r="451" spans="5:7">
      <c r="E451" s="463"/>
      <c r="F451" s="464"/>
      <c r="G451" s="463"/>
    </row>
    <row r="452" spans="5:7">
      <c r="E452" s="463"/>
      <c r="F452" s="464"/>
      <c r="G452" s="463"/>
    </row>
    <row r="453" spans="5:7">
      <c r="E453" s="463"/>
      <c r="F453" s="464"/>
      <c r="G453" s="463"/>
    </row>
    <row r="454" spans="5:7">
      <c r="E454" s="463"/>
      <c r="F454" s="464"/>
      <c r="G454" s="463"/>
    </row>
    <row r="455" spans="5:7">
      <c r="E455" s="463"/>
      <c r="F455" s="464"/>
      <c r="G455" s="463"/>
    </row>
    <row r="456" spans="5:7">
      <c r="E456" s="463"/>
      <c r="F456" s="464"/>
      <c r="G456" s="463"/>
    </row>
    <row r="457" spans="5:7">
      <c r="E457" s="463"/>
      <c r="F457" s="464"/>
      <c r="G457" s="463"/>
    </row>
    <row r="458" spans="5:7">
      <c r="E458" s="463"/>
      <c r="F458" s="464"/>
      <c r="G458" s="463"/>
    </row>
    <row r="459" spans="5:7">
      <c r="E459" s="463"/>
      <c r="F459" s="464"/>
      <c r="G459" s="463"/>
    </row>
    <row r="460" spans="5:7">
      <c r="E460" s="463"/>
      <c r="F460" s="464"/>
      <c r="G460" s="463"/>
    </row>
    <row r="461" spans="5:7">
      <c r="E461" s="463"/>
      <c r="F461" s="464"/>
      <c r="G461" s="463"/>
    </row>
    <row r="462" spans="5:7">
      <c r="E462" s="463"/>
      <c r="F462" s="464"/>
      <c r="G462" s="463"/>
    </row>
    <row r="463" spans="5:7">
      <c r="E463" s="463"/>
      <c r="F463" s="464"/>
      <c r="G463" s="463"/>
    </row>
    <row r="464" spans="5:7">
      <c r="E464" s="463"/>
      <c r="F464" s="464"/>
      <c r="G464" s="463"/>
    </row>
    <row r="465" spans="5:7">
      <c r="E465" s="463"/>
      <c r="F465" s="464"/>
      <c r="G465" s="463"/>
    </row>
    <row r="466" spans="5:7">
      <c r="E466" s="463"/>
      <c r="F466" s="464"/>
      <c r="G466" s="463"/>
    </row>
    <row r="467" spans="5:7">
      <c r="E467" s="463"/>
      <c r="F467" s="464"/>
      <c r="G467" s="463"/>
    </row>
    <row r="468" spans="5:7">
      <c r="E468" s="463"/>
      <c r="F468" s="464"/>
      <c r="G468" s="463"/>
    </row>
    <row r="469" spans="5:7">
      <c r="E469" s="463"/>
      <c r="F469" s="464"/>
      <c r="G469" s="463"/>
    </row>
    <row r="470" spans="5:7">
      <c r="E470" s="463"/>
      <c r="F470" s="464"/>
      <c r="G470" s="463"/>
    </row>
    <row r="471" spans="5:7">
      <c r="E471" s="463"/>
      <c r="F471" s="464"/>
      <c r="G471" s="463"/>
    </row>
    <row r="472" spans="5:7">
      <c r="E472" s="463"/>
      <c r="F472" s="464"/>
      <c r="G472" s="463"/>
    </row>
    <row r="473" spans="5:7">
      <c r="E473" s="463"/>
      <c r="F473" s="464"/>
      <c r="G473" s="463"/>
    </row>
    <row r="474" spans="5:7">
      <c r="E474" s="463"/>
      <c r="F474" s="464"/>
      <c r="G474" s="463"/>
    </row>
    <row r="475" spans="5:7">
      <c r="E475" s="463"/>
      <c r="F475" s="464"/>
      <c r="G475" s="463"/>
    </row>
    <row r="476" spans="5:7">
      <c r="E476" s="463"/>
      <c r="F476" s="464"/>
      <c r="G476" s="463"/>
    </row>
    <row r="477" spans="5:7">
      <c r="E477" s="463"/>
      <c r="F477" s="464"/>
      <c r="G477" s="463"/>
    </row>
    <row r="478" spans="5:7">
      <c r="E478" s="463"/>
      <c r="F478" s="464"/>
      <c r="G478" s="463"/>
    </row>
    <row r="479" spans="5:7">
      <c r="E479" s="463"/>
      <c r="F479" s="464"/>
      <c r="G479" s="463"/>
    </row>
    <row r="480" spans="5:7">
      <c r="E480" s="463"/>
      <c r="F480" s="464"/>
      <c r="G480" s="463"/>
    </row>
    <row r="481" spans="5:7">
      <c r="E481" s="463"/>
      <c r="F481" s="464"/>
      <c r="G481" s="463"/>
    </row>
    <row r="482" spans="5:7">
      <c r="E482" s="463"/>
      <c r="F482" s="464"/>
      <c r="G482" s="463"/>
    </row>
    <row r="483" spans="5:7">
      <c r="E483" s="463"/>
      <c r="F483" s="464"/>
      <c r="G483" s="463"/>
    </row>
    <row r="484" spans="5:7">
      <c r="E484" s="463"/>
      <c r="F484" s="464"/>
      <c r="G484" s="463"/>
    </row>
    <row r="485" spans="5:7">
      <c r="E485" s="463"/>
      <c r="F485" s="464"/>
      <c r="G485" s="463"/>
    </row>
    <row r="486" spans="5:7">
      <c r="E486" s="463"/>
      <c r="F486" s="464"/>
      <c r="G486" s="463"/>
    </row>
    <row r="487" spans="5:7">
      <c r="E487" s="463"/>
      <c r="F487" s="464"/>
      <c r="G487" s="463"/>
    </row>
    <row r="488" spans="5:7">
      <c r="E488" s="463"/>
      <c r="F488" s="464"/>
      <c r="G488" s="463"/>
    </row>
    <row r="489" spans="5:7">
      <c r="E489" s="463"/>
      <c r="F489" s="464"/>
      <c r="G489" s="463"/>
    </row>
    <row r="490" spans="5:7">
      <c r="E490" s="463"/>
      <c r="F490" s="464"/>
      <c r="G490" s="463"/>
    </row>
    <row r="491" spans="5:7">
      <c r="E491" s="463"/>
      <c r="F491" s="464"/>
      <c r="G491" s="463"/>
    </row>
    <row r="492" spans="5:7">
      <c r="E492" s="463"/>
      <c r="F492" s="464"/>
      <c r="G492" s="463"/>
    </row>
    <row r="493" spans="5:7">
      <c r="E493" s="463"/>
      <c r="F493" s="464"/>
      <c r="G493" s="463"/>
    </row>
    <row r="494" spans="5:7">
      <c r="E494" s="463"/>
      <c r="F494" s="464"/>
      <c r="G494" s="463"/>
    </row>
    <row r="495" spans="5:7">
      <c r="E495" s="463"/>
      <c r="F495" s="464"/>
      <c r="G495" s="463"/>
    </row>
    <row r="496" spans="5:7">
      <c r="E496" s="463"/>
      <c r="F496" s="464"/>
      <c r="G496" s="463"/>
    </row>
    <row r="497" spans="5:7">
      <c r="E497" s="463"/>
      <c r="F497" s="464"/>
      <c r="G497" s="463"/>
    </row>
    <row r="498" spans="5:7">
      <c r="E498" s="463"/>
      <c r="F498" s="464"/>
      <c r="G498" s="463"/>
    </row>
    <row r="499" spans="5:7">
      <c r="E499" s="463"/>
      <c r="F499" s="464"/>
      <c r="G499" s="463"/>
    </row>
    <row r="500" spans="5:7">
      <c r="E500" s="463"/>
      <c r="F500" s="464"/>
      <c r="G500" s="463"/>
    </row>
    <row r="501" spans="5:7">
      <c r="E501" s="463"/>
      <c r="F501" s="464"/>
      <c r="G501" s="463"/>
    </row>
    <row r="502" spans="5:7">
      <c r="E502" s="463"/>
      <c r="F502" s="464"/>
      <c r="G502" s="463"/>
    </row>
    <row r="503" spans="5:7">
      <c r="E503" s="463"/>
      <c r="F503" s="464"/>
      <c r="G503" s="463"/>
    </row>
    <row r="504" spans="5:7">
      <c r="E504" s="463"/>
      <c r="F504" s="464"/>
      <c r="G504" s="463"/>
    </row>
    <row r="505" spans="5:7">
      <c r="E505" s="463"/>
      <c r="F505" s="464"/>
      <c r="G505" s="463"/>
    </row>
    <row r="506" spans="5:7">
      <c r="E506" s="463"/>
      <c r="F506" s="464"/>
      <c r="G506" s="463"/>
    </row>
    <row r="507" spans="5:7">
      <c r="E507" s="463"/>
      <c r="F507" s="464"/>
      <c r="G507" s="463"/>
    </row>
    <row r="508" spans="5:7">
      <c r="E508" s="463"/>
      <c r="F508" s="464"/>
      <c r="G508" s="463"/>
    </row>
    <row r="509" spans="5:7">
      <c r="E509" s="463"/>
      <c r="F509" s="464"/>
      <c r="G509" s="463"/>
    </row>
    <row r="510" spans="5:7">
      <c r="E510" s="463"/>
      <c r="F510" s="464"/>
      <c r="G510" s="463"/>
    </row>
    <row r="511" spans="5:7">
      <c r="E511" s="463"/>
      <c r="F511" s="464"/>
      <c r="G511" s="463"/>
    </row>
    <row r="512" spans="5:7">
      <c r="E512" s="463"/>
      <c r="F512" s="464"/>
      <c r="G512" s="463"/>
    </row>
    <row r="513" spans="5:7">
      <c r="E513" s="463"/>
      <c r="F513" s="464"/>
      <c r="G513" s="463"/>
    </row>
    <row r="514" spans="5:7">
      <c r="E514" s="463"/>
      <c r="F514" s="464"/>
      <c r="G514" s="463"/>
    </row>
    <row r="515" spans="5:7">
      <c r="E515" s="463"/>
      <c r="F515" s="464"/>
      <c r="G515" s="463"/>
    </row>
    <row r="516" spans="5:7">
      <c r="E516" s="463"/>
      <c r="F516" s="464"/>
      <c r="G516" s="463"/>
    </row>
    <row r="517" spans="5:7">
      <c r="E517" s="463"/>
      <c r="F517" s="464"/>
      <c r="G517" s="463"/>
    </row>
    <row r="518" spans="5:7">
      <c r="E518" s="463"/>
      <c r="F518" s="464"/>
      <c r="G518" s="463"/>
    </row>
    <row r="519" spans="5:7">
      <c r="E519" s="463"/>
      <c r="F519" s="464"/>
      <c r="G519" s="463"/>
    </row>
    <row r="520" spans="5:7">
      <c r="E520" s="463"/>
      <c r="F520" s="464"/>
      <c r="G520" s="463"/>
    </row>
    <row r="521" spans="5:7">
      <c r="E521" s="463"/>
      <c r="F521" s="464"/>
      <c r="G521" s="463"/>
    </row>
    <row r="522" spans="5:7">
      <c r="E522" s="463"/>
      <c r="F522" s="464"/>
      <c r="G522" s="463"/>
    </row>
    <row r="523" spans="5:7">
      <c r="E523" s="463"/>
      <c r="F523" s="464"/>
      <c r="G523" s="463"/>
    </row>
    <row r="524" spans="5:7">
      <c r="E524" s="463"/>
      <c r="F524" s="464"/>
      <c r="G524" s="463"/>
    </row>
    <row r="525" spans="5:7">
      <c r="E525" s="463"/>
      <c r="F525" s="464"/>
      <c r="G525" s="463"/>
    </row>
    <row r="526" spans="5:7">
      <c r="E526" s="463"/>
      <c r="F526" s="464"/>
      <c r="G526" s="463"/>
    </row>
    <row r="527" spans="5:7">
      <c r="E527" s="463"/>
      <c r="F527" s="464"/>
      <c r="G527" s="463"/>
    </row>
    <row r="528" spans="5:7">
      <c r="E528" s="463"/>
      <c r="F528" s="464"/>
      <c r="G528" s="463"/>
    </row>
    <row r="529" spans="5:7">
      <c r="E529" s="463"/>
      <c r="F529" s="464"/>
      <c r="G529" s="463"/>
    </row>
    <row r="530" spans="5:7">
      <c r="E530" s="463"/>
      <c r="F530" s="464"/>
      <c r="G530" s="463"/>
    </row>
    <row r="531" spans="5:7">
      <c r="E531" s="463"/>
      <c r="F531" s="464"/>
      <c r="G531" s="463"/>
    </row>
    <row r="532" spans="5:7">
      <c r="E532" s="463"/>
      <c r="F532" s="464"/>
      <c r="G532" s="463"/>
    </row>
    <row r="533" spans="5:7">
      <c r="E533" s="463"/>
      <c r="F533" s="464"/>
      <c r="G533" s="463"/>
    </row>
    <row r="534" spans="5:7">
      <c r="E534" s="463"/>
      <c r="F534" s="464"/>
      <c r="G534" s="463"/>
    </row>
    <row r="535" spans="5:7">
      <c r="E535" s="463"/>
      <c r="F535" s="464"/>
      <c r="G535" s="463"/>
    </row>
    <row r="536" spans="5:7">
      <c r="E536" s="463"/>
      <c r="F536" s="464"/>
      <c r="G536" s="463"/>
    </row>
    <row r="537" spans="5:7">
      <c r="E537" s="463"/>
      <c r="F537" s="464"/>
      <c r="G537" s="463"/>
    </row>
    <row r="538" spans="5:7">
      <c r="E538" s="463"/>
      <c r="F538" s="464"/>
      <c r="G538" s="463"/>
    </row>
    <row r="539" spans="5:7">
      <c r="E539" s="463"/>
      <c r="F539" s="464"/>
      <c r="G539" s="463"/>
    </row>
    <row r="540" spans="5:7">
      <c r="E540" s="463"/>
      <c r="F540" s="464"/>
      <c r="G540" s="463"/>
    </row>
    <row r="541" spans="5:7">
      <c r="E541" s="463"/>
      <c r="F541" s="464"/>
      <c r="G541" s="463"/>
    </row>
    <row r="542" spans="5:7">
      <c r="E542" s="463"/>
      <c r="F542" s="464"/>
      <c r="G542" s="463"/>
    </row>
    <row r="543" spans="5:7">
      <c r="E543" s="463"/>
      <c r="F543" s="464"/>
      <c r="G543" s="463"/>
    </row>
    <row r="544" spans="5:7">
      <c r="E544" s="463"/>
      <c r="F544" s="464"/>
      <c r="G544" s="463"/>
    </row>
    <row r="545" spans="5:7">
      <c r="E545" s="463"/>
      <c r="F545" s="464"/>
      <c r="G545" s="463"/>
    </row>
    <row r="546" spans="5:7">
      <c r="E546" s="463"/>
      <c r="F546" s="464"/>
      <c r="G546" s="463"/>
    </row>
    <row r="547" spans="5:7">
      <c r="E547" s="463"/>
      <c r="F547" s="464"/>
      <c r="G547" s="463"/>
    </row>
    <row r="548" spans="5:7">
      <c r="E548" s="463"/>
      <c r="F548" s="464"/>
      <c r="G548" s="463"/>
    </row>
    <row r="549" spans="5:7">
      <c r="E549" s="463"/>
      <c r="F549" s="464"/>
      <c r="G549" s="463"/>
    </row>
    <row r="550" spans="5:7">
      <c r="E550" s="463"/>
      <c r="F550" s="464"/>
      <c r="G550" s="463"/>
    </row>
    <row r="551" spans="5:7">
      <c r="E551" s="463"/>
      <c r="F551" s="464"/>
      <c r="G551" s="463"/>
    </row>
    <row r="552" spans="5:7">
      <c r="E552" s="463"/>
      <c r="F552" s="464"/>
      <c r="G552" s="463"/>
    </row>
    <row r="553" spans="5:7">
      <c r="E553" s="463"/>
      <c r="F553" s="464"/>
      <c r="G553" s="463"/>
    </row>
    <row r="554" spans="5:7">
      <c r="E554" s="463"/>
      <c r="F554" s="464"/>
      <c r="G554" s="463"/>
    </row>
    <row r="555" spans="5:7">
      <c r="E555" s="463"/>
      <c r="F555" s="464"/>
      <c r="G555" s="463"/>
    </row>
    <row r="556" spans="5:7">
      <c r="E556" s="463"/>
      <c r="F556" s="464"/>
      <c r="G556" s="463"/>
    </row>
    <row r="557" spans="5:7">
      <c r="E557" s="463"/>
      <c r="F557" s="464"/>
      <c r="G557" s="463"/>
    </row>
    <row r="558" spans="5:7">
      <c r="E558" s="463"/>
      <c r="F558" s="464"/>
      <c r="G558" s="463"/>
    </row>
    <row r="559" spans="5:7">
      <c r="E559" s="463"/>
      <c r="F559" s="464"/>
      <c r="G559" s="463"/>
    </row>
    <row r="560" spans="5:7">
      <c r="E560" s="463"/>
      <c r="F560" s="464"/>
      <c r="G560" s="463"/>
    </row>
    <row r="561" spans="5:7">
      <c r="E561" s="463"/>
      <c r="F561" s="464"/>
      <c r="G561" s="463"/>
    </row>
    <row r="562" spans="5:7">
      <c r="E562" s="463"/>
      <c r="F562" s="464"/>
      <c r="G562" s="463"/>
    </row>
    <row r="563" spans="5:7">
      <c r="E563" s="463"/>
      <c r="F563" s="464"/>
      <c r="G563" s="463"/>
    </row>
    <row r="564" spans="5:7">
      <c r="E564" s="463"/>
      <c r="F564" s="464"/>
      <c r="G564" s="463"/>
    </row>
    <row r="565" spans="5:7">
      <c r="E565" s="463"/>
      <c r="F565" s="464"/>
      <c r="G565" s="463"/>
    </row>
    <row r="566" spans="5:7">
      <c r="E566" s="463"/>
      <c r="F566" s="464"/>
      <c r="G566" s="463"/>
    </row>
    <row r="567" spans="5:7">
      <c r="E567" s="463"/>
      <c r="F567" s="464"/>
      <c r="G567" s="463"/>
    </row>
    <row r="568" spans="5:7">
      <c r="E568" s="463"/>
      <c r="F568" s="464"/>
      <c r="G568" s="463"/>
    </row>
    <row r="569" spans="5:7">
      <c r="E569" s="463"/>
      <c r="F569" s="464"/>
      <c r="G569" s="463"/>
    </row>
    <row r="570" spans="5:7">
      <c r="E570" s="463"/>
      <c r="F570" s="464"/>
      <c r="G570" s="463"/>
    </row>
    <row r="571" spans="5:7">
      <c r="E571" s="463"/>
      <c r="F571" s="464"/>
      <c r="G571" s="463"/>
    </row>
    <row r="572" spans="5:7">
      <c r="E572" s="463"/>
      <c r="F572" s="464"/>
      <c r="G572" s="463"/>
    </row>
    <row r="573" spans="5:7">
      <c r="E573" s="463"/>
      <c r="F573" s="464"/>
      <c r="G573" s="463"/>
    </row>
    <row r="574" spans="5:7">
      <c r="E574" s="463"/>
      <c r="F574" s="464"/>
      <c r="G574" s="463"/>
    </row>
    <row r="575" spans="5:7">
      <c r="E575" s="463"/>
      <c r="F575" s="464"/>
      <c r="G575" s="463"/>
    </row>
    <row r="576" spans="5:7">
      <c r="E576" s="463"/>
      <c r="F576" s="464"/>
      <c r="G576" s="463"/>
    </row>
    <row r="577" spans="5:7">
      <c r="E577" s="463"/>
      <c r="F577" s="464"/>
      <c r="G577" s="463"/>
    </row>
    <row r="578" spans="5:7">
      <c r="E578" s="463"/>
      <c r="F578" s="464"/>
      <c r="G578" s="463"/>
    </row>
    <row r="579" spans="5:7">
      <c r="E579" s="463"/>
      <c r="F579" s="464"/>
      <c r="G579" s="463"/>
    </row>
    <row r="580" spans="5:7">
      <c r="E580" s="463"/>
      <c r="F580" s="464"/>
      <c r="G580" s="463"/>
    </row>
    <row r="581" spans="5:7">
      <c r="E581" s="463"/>
      <c r="F581" s="464"/>
      <c r="G581" s="463"/>
    </row>
    <row r="582" spans="5:7">
      <c r="E582" s="463"/>
      <c r="F582" s="464"/>
      <c r="G582" s="463"/>
    </row>
    <row r="583" spans="5:7">
      <c r="E583" s="463"/>
      <c r="F583" s="464"/>
      <c r="G583" s="463"/>
    </row>
    <row r="584" spans="5:7">
      <c r="E584" s="463"/>
      <c r="F584" s="464"/>
      <c r="G584" s="463"/>
    </row>
    <row r="585" spans="5:7">
      <c r="E585" s="463"/>
      <c r="F585" s="464"/>
      <c r="G585" s="463"/>
    </row>
    <row r="586" spans="5:7">
      <c r="E586" s="463"/>
      <c r="F586" s="464"/>
      <c r="G586" s="463"/>
    </row>
    <row r="587" spans="5:7">
      <c r="E587" s="463"/>
      <c r="F587" s="464"/>
      <c r="G587" s="463"/>
    </row>
    <row r="588" spans="5:7">
      <c r="E588" s="463"/>
      <c r="F588" s="464"/>
      <c r="G588" s="463"/>
    </row>
    <row r="589" spans="5:7">
      <c r="E589" s="463"/>
      <c r="F589" s="464"/>
      <c r="G589" s="463"/>
    </row>
    <row r="590" spans="5:7">
      <c r="E590" s="463"/>
      <c r="F590" s="464"/>
      <c r="G590" s="463"/>
    </row>
    <row r="591" spans="5:7">
      <c r="E591" s="463"/>
      <c r="F591" s="464"/>
      <c r="G591" s="463"/>
    </row>
    <row r="592" spans="5:7">
      <c r="E592" s="463"/>
      <c r="F592" s="464"/>
      <c r="G592" s="463"/>
    </row>
    <row r="593" spans="5:7">
      <c r="E593" s="463"/>
      <c r="F593" s="464"/>
      <c r="G593" s="463"/>
    </row>
    <row r="594" spans="5:7">
      <c r="E594" s="463"/>
      <c r="F594" s="464"/>
      <c r="G594" s="463"/>
    </row>
    <row r="595" spans="5:7">
      <c r="E595" s="463"/>
      <c r="F595" s="464"/>
      <c r="G595" s="463"/>
    </row>
    <row r="596" spans="5:7">
      <c r="E596" s="463"/>
      <c r="F596" s="464"/>
      <c r="G596" s="463"/>
    </row>
    <row r="597" spans="5:7">
      <c r="E597" s="463"/>
      <c r="F597" s="464"/>
      <c r="G597" s="463"/>
    </row>
    <row r="598" spans="5:7">
      <c r="E598" s="463"/>
      <c r="F598" s="464"/>
      <c r="G598" s="463"/>
    </row>
    <row r="599" spans="5:7">
      <c r="E599" s="463"/>
      <c r="F599" s="464"/>
      <c r="G599" s="463"/>
    </row>
    <row r="600" spans="5:7">
      <c r="E600" s="463"/>
      <c r="F600" s="464"/>
      <c r="G600" s="463"/>
    </row>
    <row r="601" spans="5:7">
      <c r="E601" s="463"/>
      <c r="F601" s="464"/>
      <c r="G601" s="463"/>
    </row>
    <row r="602" spans="5:7">
      <c r="E602" s="463"/>
      <c r="F602" s="464"/>
      <c r="G602" s="463"/>
    </row>
    <row r="603" spans="5:7">
      <c r="E603" s="463"/>
      <c r="F603" s="464"/>
      <c r="G603" s="463"/>
    </row>
    <row r="604" spans="5:7">
      <c r="E604" s="463"/>
      <c r="F604" s="464"/>
      <c r="G604" s="463"/>
    </row>
    <row r="605" spans="5:7">
      <c r="E605" s="463"/>
      <c r="F605" s="464"/>
      <c r="G605" s="463"/>
    </row>
    <row r="606" spans="5:7">
      <c r="E606" s="463"/>
      <c r="F606" s="464"/>
      <c r="G606" s="463"/>
    </row>
    <row r="607" spans="5:7">
      <c r="E607" s="463"/>
      <c r="F607" s="464"/>
      <c r="G607" s="463"/>
    </row>
    <row r="608" spans="5:7">
      <c r="E608" s="463"/>
      <c r="F608" s="464"/>
      <c r="G608" s="463"/>
    </row>
    <row r="609" spans="5:7">
      <c r="E609" s="463"/>
      <c r="F609" s="464"/>
      <c r="G609" s="463"/>
    </row>
    <row r="610" spans="5:7">
      <c r="E610" s="463"/>
      <c r="F610" s="464"/>
      <c r="G610" s="463"/>
    </row>
    <row r="611" spans="5:7">
      <c r="E611" s="463"/>
      <c r="F611" s="464"/>
      <c r="G611" s="463"/>
    </row>
    <row r="612" spans="5:7">
      <c r="E612" s="463"/>
      <c r="F612" s="464"/>
      <c r="G612" s="463"/>
    </row>
    <row r="613" spans="5:7">
      <c r="E613" s="463"/>
      <c r="F613" s="464"/>
      <c r="G613" s="463"/>
    </row>
    <row r="614" spans="5:7">
      <c r="E614" s="463"/>
      <c r="F614" s="464"/>
      <c r="G614" s="463"/>
    </row>
    <row r="615" spans="5:7">
      <c r="E615" s="463"/>
      <c r="F615" s="464"/>
      <c r="G615" s="463"/>
    </row>
    <row r="616" spans="5:7">
      <c r="E616" s="463"/>
      <c r="F616" s="464"/>
      <c r="G616" s="463"/>
    </row>
    <row r="617" spans="5:7">
      <c r="E617" s="463"/>
      <c r="F617" s="464"/>
      <c r="G617" s="463"/>
    </row>
    <row r="618" spans="5:7">
      <c r="E618" s="463"/>
      <c r="F618" s="464"/>
      <c r="G618" s="463"/>
    </row>
    <row r="619" spans="5:7">
      <c r="E619" s="463"/>
      <c r="F619" s="464"/>
      <c r="G619" s="463"/>
    </row>
    <row r="620" spans="5:7">
      <c r="E620" s="463"/>
      <c r="F620" s="464"/>
      <c r="G620" s="463"/>
    </row>
    <row r="621" spans="5:7">
      <c r="E621" s="463"/>
      <c r="F621" s="464"/>
      <c r="G621" s="463"/>
    </row>
    <row r="622" spans="5:7">
      <c r="E622" s="463"/>
      <c r="F622" s="464"/>
      <c r="G622" s="463"/>
    </row>
    <row r="623" spans="5:7">
      <c r="E623" s="463"/>
      <c r="F623" s="464"/>
      <c r="G623" s="463"/>
    </row>
    <row r="624" spans="5:7">
      <c r="E624" s="463"/>
      <c r="F624" s="464"/>
      <c r="G624" s="463"/>
    </row>
    <row r="625" spans="5:7">
      <c r="E625" s="463"/>
      <c r="F625" s="464"/>
      <c r="G625" s="463"/>
    </row>
    <row r="626" spans="5:7">
      <c r="E626" s="463"/>
      <c r="F626" s="464"/>
      <c r="G626" s="463"/>
    </row>
    <row r="627" spans="5:7">
      <c r="E627" s="463"/>
      <c r="F627" s="464"/>
      <c r="G627" s="463"/>
    </row>
    <row r="628" spans="5:7">
      <c r="E628" s="463"/>
      <c r="F628" s="464"/>
      <c r="G628" s="463"/>
    </row>
    <row r="629" spans="5:7">
      <c r="E629" s="463"/>
      <c r="F629" s="464"/>
      <c r="G629" s="463"/>
    </row>
    <row r="630" spans="5:7">
      <c r="E630" s="463"/>
      <c r="F630" s="464"/>
      <c r="G630" s="463"/>
    </row>
    <row r="631" spans="5:7">
      <c r="E631" s="463"/>
      <c r="F631" s="464"/>
      <c r="G631" s="463"/>
    </row>
    <row r="632" spans="5:7">
      <c r="E632" s="463"/>
      <c r="F632" s="464"/>
      <c r="G632" s="463"/>
    </row>
    <row r="633" spans="5:7">
      <c r="E633" s="463"/>
      <c r="F633" s="464"/>
      <c r="G633" s="463"/>
    </row>
    <row r="634" spans="5:7">
      <c r="E634" s="463"/>
      <c r="F634" s="464"/>
      <c r="G634" s="463"/>
    </row>
    <row r="635" spans="5:7">
      <c r="E635" s="463"/>
      <c r="F635" s="464"/>
      <c r="G635" s="463"/>
    </row>
    <row r="636" spans="5:7">
      <c r="E636" s="463"/>
      <c r="F636" s="464"/>
      <c r="G636" s="463"/>
    </row>
    <row r="637" spans="5:7">
      <c r="E637" s="463"/>
      <c r="F637" s="464"/>
      <c r="G637" s="463"/>
    </row>
    <row r="638" spans="5:7">
      <c r="E638" s="463"/>
      <c r="F638" s="464"/>
      <c r="G638" s="463"/>
    </row>
    <row r="639" spans="5:7">
      <c r="E639" s="463"/>
      <c r="F639" s="464"/>
      <c r="G639" s="463"/>
    </row>
    <row r="640" spans="5:7">
      <c r="E640" s="463"/>
      <c r="F640" s="464"/>
      <c r="G640" s="463"/>
    </row>
    <row r="641" spans="5:7">
      <c r="E641" s="463"/>
      <c r="F641" s="464"/>
      <c r="G641" s="463"/>
    </row>
    <row r="642" spans="5:7">
      <c r="E642" s="463"/>
      <c r="F642" s="464"/>
      <c r="G642" s="463"/>
    </row>
    <row r="643" spans="5:7">
      <c r="E643" s="463"/>
      <c r="F643" s="464"/>
      <c r="G643" s="463"/>
    </row>
    <row r="644" spans="5:7">
      <c r="E644" s="463"/>
      <c r="F644" s="464"/>
      <c r="G644" s="463"/>
    </row>
    <row r="645" spans="5:7">
      <c r="E645" s="463"/>
      <c r="F645" s="464"/>
      <c r="G645" s="463"/>
    </row>
    <row r="646" spans="5:7">
      <c r="E646" s="463"/>
      <c r="F646" s="464"/>
      <c r="G646" s="463"/>
    </row>
    <row r="647" spans="5:7">
      <c r="E647" s="463"/>
      <c r="F647" s="464"/>
      <c r="G647" s="463"/>
    </row>
    <row r="648" spans="5:7">
      <c r="E648" s="463"/>
      <c r="F648" s="464"/>
      <c r="G648" s="463"/>
    </row>
    <row r="649" spans="5:7">
      <c r="E649" s="463"/>
      <c r="F649" s="464"/>
      <c r="G649" s="463"/>
    </row>
    <row r="650" spans="5:7">
      <c r="E650" s="463"/>
      <c r="F650" s="464"/>
      <c r="G650" s="463"/>
    </row>
    <row r="651" spans="5:7">
      <c r="E651" s="463"/>
      <c r="F651" s="464"/>
      <c r="G651" s="463"/>
    </row>
    <row r="652" spans="5:7">
      <c r="E652" s="463"/>
      <c r="F652" s="464"/>
      <c r="G652" s="463"/>
    </row>
    <row r="653" spans="5:7">
      <c r="E653" s="463"/>
      <c r="F653" s="464"/>
      <c r="G653" s="463"/>
    </row>
    <row r="654" spans="5:7">
      <c r="E654" s="463"/>
      <c r="F654" s="464"/>
      <c r="G654" s="463"/>
    </row>
    <row r="655" spans="5:7">
      <c r="E655" s="463"/>
      <c r="F655" s="464"/>
      <c r="G655" s="463"/>
    </row>
    <row r="656" spans="5:7">
      <c r="E656" s="463"/>
      <c r="F656" s="464"/>
      <c r="G656" s="463"/>
    </row>
    <row r="657" spans="5:7">
      <c r="E657" s="463"/>
      <c r="F657" s="464"/>
      <c r="G657" s="463"/>
    </row>
    <row r="658" spans="5:7">
      <c r="E658" s="463"/>
      <c r="F658" s="464"/>
      <c r="G658" s="463"/>
    </row>
    <row r="659" spans="5:7">
      <c r="E659" s="463"/>
      <c r="F659" s="464"/>
      <c r="G659" s="463"/>
    </row>
    <row r="660" spans="5:7">
      <c r="E660" s="463"/>
      <c r="F660" s="464"/>
      <c r="G660" s="463"/>
    </row>
    <row r="661" spans="5:7">
      <c r="E661" s="463"/>
      <c r="F661" s="464"/>
      <c r="G661" s="463"/>
    </row>
    <row r="662" spans="5:7">
      <c r="E662" s="463"/>
      <c r="F662" s="464"/>
      <c r="G662" s="463"/>
    </row>
    <row r="663" spans="5:7">
      <c r="E663" s="463"/>
      <c r="F663" s="464"/>
      <c r="G663" s="463"/>
    </row>
    <row r="664" spans="5:7">
      <c r="E664" s="463"/>
      <c r="F664" s="464"/>
      <c r="G664" s="463"/>
    </row>
    <row r="665" spans="5:7">
      <c r="E665" s="463"/>
      <c r="F665" s="464"/>
      <c r="G665" s="463"/>
    </row>
    <row r="666" spans="5:7">
      <c r="E666" s="463"/>
      <c r="F666" s="464"/>
      <c r="G666" s="463"/>
    </row>
    <row r="667" spans="5:7">
      <c r="E667" s="463"/>
      <c r="F667" s="464"/>
      <c r="G667" s="463"/>
    </row>
    <row r="668" spans="5:7">
      <c r="E668" s="463"/>
      <c r="F668" s="464"/>
      <c r="G668" s="463"/>
    </row>
    <row r="669" spans="5:7">
      <c r="E669" s="463"/>
      <c r="F669" s="464"/>
      <c r="G669" s="463"/>
    </row>
    <row r="670" spans="5:7">
      <c r="E670" s="463"/>
      <c r="F670" s="464"/>
      <c r="G670" s="463"/>
    </row>
    <row r="671" spans="5:7">
      <c r="E671" s="463"/>
      <c r="F671" s="464"/>
      <c r="G671" s="463"/>
    </row>
    <row r="672" spans="5:7">
      <c r="E672" s="463"/>
      <c r="F672" s="464"/>
      <c r="G672" s="463"/>
    </row>
    <row r="673" spans="5:7">
      <c r="E673" s="463"/>
      <c r="F673" s="464"/>
      <c r="G673" s="463"/>
    </row>
    <row r="674" spans="5:7">
      <c r="E674" s="463"/>
      <c r="F674" s="464"/>
      <c r="G674" s="463"/>
    </row>
    <row r="675" spans="5:7">
      <c r="E675" s="463"/>
      <c r="F675" s="464"/>
      <c r="G675" s="463"/>
    </row>
    <row r="676" spans="5:7">
      <c r="E676" s="463"/>
      <c r="F676" s="464"/>
      <c r="G676" s="463"/>
    </row>
    <row r="677" spans="5:7">
      <c r="E677" s="463"/>
      <c r="F677" s="464"/>
      <c r="G677" s="463"/>
    </row>
    <row r="678" spans="5:7">
      <c r="E678" s="463"/>
      <c r="F678" s="464"/>
      <c r="G678" s="463"/>
    </row>
    <row r="679" spans="5:7">
      <c r="E679" s="463"/>
      <c r="F679" s="464"/>
      <c r="G679" s="463"/>
    </row>
    <row r="680" spans="5:7">
      <c r="E680" s="463"/>
      <c r="F680" s="464"/>
      <c r="G680" s="463"/>
    </row>
    <row r="681" spans="5:7">
      <c r="E681" s="463"/>
      <c r="F681" s="464"/>
      <c r="G681" s="463"/>
    </row>
    <row r="682" spans="5:7">
      <c r="E682" s="463"/>
      <c r="F682" s="464"/>
      <c r="G682" s="463"/>
    </row>
    <row r="683" spans="5:7">
      <c r="E683" s="463"/>
      <c r="F683" s="464"/>
      <c r="G683" s="463"/>
    </row>
    <row r="684" spans="5:7">
      <c r="E684" s="463"/>
      <c r="F684" s="464"/>
      <c r="G684" s="463"/>
    </row>
    <row r="685" spans="5:7">
      <c r="E685" s="463"/>
      <c r="F685" s="464"/>
      <c r="G685" s="463"/>
    </row>
    <row r="686" spans="5:7">
      <c r="E686" s="463"/>
      <c r="F686" s="464"/>
      <c r="G686" s="463"/>
    </row>
    <row r="687" spans="5:7">
      <c r="E687" s="463"/>
      <c r="F687" s="464"/>
      <c r="G687" s="463"/>
    </row>
    <row r="688" spans="5:7">
      <c r="E688" s="463"/>
      <c r="F688" s="464"/>
      <c r="G688" s="463"/>
    </row>
    <row r="689" spans="5:7">
      <c r="E689" s="463"/>
      <c r="F689" s="464"/>
      <c r="G689" s="463"/>
    </row>
    <row r="690" spans="5:7">
      <c r="E690" s="463"/>
      <c r="F690" s="464"/>
      <c r="G690" s="463"/>
    </row>
    <row r="691" spans="5:7">
      <c r="E691" s="463"/>
      <c r="F691" s="464"/>
      <c r="G691" s="463"/>
    </row>
    <row r="692" spans="5:7">
      <c r="E692" s="463"/>
      <c r="F692" s="464"/>
      <c r="G692" s="463"/>
    </row>
    <row r="693" spans="5:7">
      <c r="E693" s="463"/>
      <c r="F693" s="464"/>
      <c r="G693" s="463"/>
    </row>
    <row r="694" spans="5:7">
      <c r="E694" s="463"/>
      <c r="F694" s="464"/>
      <c r="G694" s="463"/>
    </row>
    <row r="695" spans="5:7">
      <c r="E695" s="463"/>
      <c r="F695" s="464"/>
      <c r="G695" s="463"/>
    </row>
    <row r="696" spans="5:7">
      <c r="E696" s="463"/>
      <c r="F696" s="464"/>
      <c r="G696" s="463"/>
    </row>
    <row r="697" spans="5:7">
      <c r="E697" s="463"/>
      <c r="F697" s="464"/>
      <c r="G697" s="463"/>
    </row>
    <row r="698" spans="5:7">
      <c r="E698" s="463"/>
      <c r="F698" s="464"/>
      <c r="G698" s="463"/>
    </row>
    <row r="699" spans="5:7">
      <c r="E699" s="463"/>
      <c r="F699" s="464"/>
      <c r="G699" s="463"/>
    </row>
    <row r="700" spans="5:7">
      <c r="E700" s="463"/>
      <c r="F700" s="464"/>
      <c r="G700" s="463"/>
    </row>
    <row r="701" spans="5:7">
      <c r="E701" s="463"/>
      <c r="F701" s="464"/>
      <c r="G701" s="463"/>
    </row>
    <row r="702" spans="5:7">
      <c r="E702" s="463"/>
      <c r="F702" s="464"/>
      <c r="G702" s="463"/>
    </row>
  </sheetData>
  <mergeCells count="20">
    <mergeCell ref="O6:O7"/>
    <mergeCell ref="A10:A13"/>
    <mergeCell ref="A5:N5"/>
    <mergeCell ref="A6:A7"/>
    <mergeCell ref="B6:B7"/>
    <mergeCell ref="C6:C7"/>
    <mergeCell ref="D6:D7"/>
    <mergeCell ref="E6:E7"/>
    <mergeCell ref="F6:F7"/>
    <mergeCell ref="G6:G7"/>
    <mergeCell ref="H6:H7"/>
    <mergeCell ref="J6:J7"/>
    <mergeCell ref="A14:A17"/>
    <mergeCell ref="A18:A21"/>
    <mergeCell ref="A22:A25"/>
    <mergeCell ref="B28:N28"/>
    <mergeCell ref="K6:K7"/>
    <mergeCell ref="L6:L7"/>
    <mergeCell ref="M6:M7"/>
    <mergeCell ref="N6:N7"/>
  </mergeCells>
  <printOptions horizontalCentered="1"/>
  <pageMargins left="0.51181102362204722" right="0.51181102362204722" top="0.98425196850393704" bottom="0" header="0.51181102362204722" footer="0.51181102362204722"/>
  <pageSetup scale="73" orientation="landscape"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95"/>
  <sheetViews>
    <sheetView topLeftCell="B1" workbookViewId="0">
      <selection activeCell="P9" sqref="P9"/>
    </sheetView>
  </sheetViews>
  <sheetFormatPr baseColWidth="10" defaultColWidth="9.1640625" defaultRowHeight="15"/>
  <cols>
    <col min="1" max="1" width="9.1640625" style="467"/>
    <col min="2" max="2" width="16.83203125" style="467" customWidth="1"/>
    <col min="3" max="3" width="9.1640625" style="467"/>
    <col min="4" max="4" width="16.6640625" style="467" customWidth="1"/>
    <col min="5" max="5" width="13.6640625" style="467" customWidth="1"/>
    <col min="6" max="6" width="12.33203125" style="467" customWidth="1"/>
    <col min="7" max="7" width="12" style="467" customWidth="1"/>
    <col min="8" max="9" width="11.5" style="467" customWidth="1"/>
    <col min="10" max="10" width="12.33203125" style="467" customWidth="1"/>
    <col min="11" max="11" width="11.5" style="467" customWidth="1"/>
    <col min="12" max="12" width="12" style="467" customWidth="1"/>
    <col min="13" max="13" width="29.5" style="467" customWidth="1"/>
    <col min="14" max="14" width="12" style="467" bestFit="1" customWidth="1"/>
    <col min="15" max="15" width="11" style="467" bestFit="1" customWidth="1"/>
    <col min="16" max="16" width="12.5" style="467" customWidth="1"/>
    <col min="17" max="16384" width="9.1640625" style="467"/>
  </cols>
  <sheetData>
    <row r="1" spans="1:16" ht="15" customHeight="1">
      <c r="A1" s="497"/>
      <c r="B1" s="497"/>
      <c r="C1" s="497"/>
      <c r="D1" s="497"/>
      <c r="E1" s="497"/>
      <c r="F1" s="497"/>
      <c r="G1" s="497"/>
      <c r="H1" s="497"/>
      <c r="I1" s="497"/>
      <c r="J1" s="497"/>
      <c r="K1" s="497"/>
      <c r="L1" s="497"/>
    </row>
    <row r="2" spans="1:16">
      <c r="A2" t="s">
        <v>311</v>
      </c>
      <c r="B2"/>
      <c r="C2"/>
      <c r="D2"/>
      <c r="E2"/>
      <c r="F2"/>
      <c r="G2"/>
      <c r="H2"/>
      <c r="I2"/>
      <c r="J2"/>
      <c r="K2"/>
      <c r="L2"/>
    </row>
    <row r="3" spans="1:16" ht="15" customHeight="1">
      <c r="A3" s="497" t="s">
        <v>390</v>
      </c>
      <c r="B3" s="497"/>
      <c r="C3" s="497"/>
      <c r="D3" s="497"/>
      <c r="E3" s="497"/>
      <c r="F3" s="497"/>
      <c r="G3" s="497"/>
      <c r="H3" s="497"/>
      <c r="I3" s="497"/>
      <c r="J3" s="497"/>
      <c r="K3" s="497"/>
      <c r="L3" s="497"/>
    </row>
    <row r="4" spans="1:16" ht="24" customHeight="1">
      <c r="A4" s="498" t="s">
        <v>391</v>
      </c>
      <c r="B4" s="498" t="s">
        <v>392</v>
      </c>
      <c r="C4" s="498" t="s">
        <v>393</v>
      </c>
      <c r="D4" s="498"/>
      <c r="E4" s="497"/>
      <c r="F4" s="497"/>
      <c r="G4" s="497"/>
      <c r="H4" s="497"/>
      <c r="I4" s="499"/>
      <c r="J4" s="499"/>
      <c r="K4" s="499"/>
      <c r="L4"/>
    </row>
    <row r="5" spans="1:16" ht="15" customHeight="1">
      <c r="A5" s="498" t="s">
        <v>394</v>
      </c>
      <c r="B5" s="498" t="s">
        <v>395</v>
      </c>
      <c r="C5" s="498" t="s">
        <v>396</v>
      </c>
      <c r="D5" s="498" t="s">
        <v>397</v>
      </c>
      <c r="E5" s="498"/>
      <c r="F5" s="497"/>
      <c r="G5" s="497"/>
      <c r="H5" s="497"/>
      <c r="I5" s="499"/>
      <c r="J5" s="499"/>
      <c r="K5" s="499"/>
      <c r="L5"/>
    </row>
    <row r="6" spans="1:16" ht="28.5" customHeight="1">
      <c r="A6" s="500" t="s">
        <v>246</v>
      </c>
      <c r="B6" s="500"/>
      <c r="C6" s="500"/>
      <c r="D6" s="500"/>
      <c r="E6" s="500"/>
      <c r="F6" s="500"/>
      <c r="G6" s="500"/>
      <c r="H6" s="500"/>
      <c r="I6" s="500"/>
      <c r="J6" s="500"/>
      <c r="K6" s="500"/>
      <c r="L6" s="500"/>
    </row>
    <row r="7" spans="1:16" ht="29">
      <c r="A7" s="498" t="s">
        <v>282</v>
      </c>
      <c r="B7" s="498" t="s">
        <v>281</v>
      </c>
      <c r="C7" s="482" t="s">
        <v>398</v>
      </c>
      <c r="D7" s="499" t="s">
        <v>310</v>
      </c>
      <c r="E7" s="499" t="s">
        <v>309</v>
      </c>
      <c r="F7" s="499" t="s">
        <v>308</v>
      </c>
      <c r="G7" s="499" t="s">
        <v>307</v>
      </c>
      <c r="H7" s="499" t="s">
        <v>306</v>
      </c>
      <c r="I7" s="499" t="s">
        <v>305</v>
      </c>
      <c r="J7" s="499" t="s">
        <v>304</v>
      </c>
      <c r="K7" s="499" t="s">
        <v>303</v>
      </c>
      <c r="L7" s="499" t="s">
        <v>289</v>
      </c>
      <c r="M7" s="468" t="s">
        <v>302</v>
      </c>
      <c r="N7" s="468" t="s">
        <v>301</v>
      </c>
      <c r="O7" s="468" t="s">
        <v>300</v>
      </c>
      <c r="P7" s="473" t="s">
        <v>372</v>
      </c>
    </row>
    <row r="8" spans="1:16" ht="28.5" customHeight="1">
      <c r="A8" s="500" t="s">
        <v>246</v>
      </c>
      <c r="B8" s="500"/>
      <c r="C8" s="500"/>
      <c r="D8" s="500"/>
      <c r="E8" s="500"/>
      <c r="F8" s="500"/>
      <c r="G8" s="500"/>
      <c r="H8" s="500"/>
      <c r="I8" s="500"/>
      <c r="J8" s="500"/>
      <c r="K8" s="500"/>
      <c r="L8" s="500"/>
    </row>
    <row r="9" spans="1:16">
      <c r="A9" s="482">
        <v>1</v>
      </c>
      <c r="B9" s="482" t="s">
        <v>263</v>
      </c>
      <c r="C9" s="482" t="s">
        <v>398</v>
      </c>
      <c r="D9" s="483">
        <v>7075536401.5500002</v>
      </c>
      <c r="E9" s="483">
        <v>26308950.530000001</v>
      </c>
      <c r="F9" s="483">
        <v>0</v>
      </c>
      <c r="G9" s="483">
        <v>916711855.02999997</v>
      </c>
      <c r="H9" s="483">
        <v>209847.97</v>
      </c>
      <c r="I9" s="483">
        <v>9283.23</v>
      </c>
      <c r="J9" s="483">
        <v>761425.09</v>
      </c>
      <c r="K9" s="483">
        <v>23327229.739999998</v>
      </c>
      <c r="L9" s="483">
        <v>8042864993.1400003</v>
      </c>
      <c r="M9" s="467">
        <f>+ROUND((D9-D78)/10000000,2)</f>
        <v>696.4</v>
      </c>
      <c r="N9" s="467">
        <f>+F30/10000000</f>
        <v>13.567593909000001</v>
      </c>
      <c r="O9" s="467">
        <f>+M9-N9</f>
        <v>682.83240609099994</v>
      </c>
      <c r="P9" s="467">
        <f>+ROUND(E55/1000000,0)</f>
        <v>1115</v>
      </c>
    </row>
    <row r="10" spans="1:16">
      <c r="A10" s="482">
        <v>2</v>
      </c>
      <c r="B10" s="482" t="s">
        <v>262</v>
      </c>
      <c r="C10" s="482" t="s">
        <v>398</v>
      </c>
      <c r="D10" s="483">
        <v>207983587.59999999</v>
      </c>
      <c r="E10" s="483">
        <v>77028.5</v>
      </c>
      <c r="F10" s="483">
        <v>0</v>
      </c>
      <c r="G10" s="483">
        <v>12494426.65</v>
      </c>
      <c r="H10" s="483">
        <v>11885</v>
      </c>
      <c r="I10" s="483">
        <v>2250</v>
      </c>
      <c r="J10" s="483">
        <v>89172</v>
      </c>
      <c r="K10" s="483">
        <v>1211286.97</v>
      </c>
      <c r="L10" s="483">
        <v>221869636.72</v>
      </c>
      <c r="M10" s="467">
        <f t="shared" ref="M10:M26" si="0">+ROUND((D10-D79)/10000000,2)</f>
        <v>20.72</v>
      </c>
      <c r="N10" s="467">
        <f t="shared" ref="N10:N25" si="1">+F31/10000000</f>
        <v>0.58992785300000006</v>
      </c>
      <c r="O10" s="467">
        <f t="shared" ref="O10:O25" si="2">+M10-N10</f>
        <v>20.130072147</v>
      </c>
      <c r="P10" s="467">
        <f t="shared" ref="P10:P23" si="3">+ROUND(E56/1000000,0)</f>
        <v>31</v>
      </c>
    </row>
    <row r="11" spans="1:16" ht="24">
      <c r="A11" s="482">
        <v>3</v>
      </c>
      <c r="B11" s="482" t="s">
        <v>261</v>
      </c>
      <c r="C11" s="482" t="s">
        <v>398</v>
      </c>
      <c r="D11" s="483">
        <v>13571380932.370001</v>
      </c>
      <c r="E11" s="483">
        <v>22854459.719999999</v>
      </c>
      <c r="F11" s="483">
        <v>0</v>
      </c>
      <c r="G11" s="483">
        <v>1419127447.6900001</v>
      </c>
      <c r="H11" s="483">
        <v>101726.39999999999</v>
      </c>
      <c r="I11" s="483">
        <v>14823.9</v>
      </c>
      <c r="J11" s="483">
        <v>496172.94</v>
      </c>
      <c r="K11" s="483">
        <v>16619210.199999999</v>
      </c>
      <c r="L11" s="483">
        <v>15030594773.219999</v>
      </c>
      <c r="M11" s="467">
        <f t="shared" si="0"/>
        <v>1349.78</v>
      </c>
      <c r="N11" s="467">
        <f t="shared" si="1"/>
        <v>84.557231987999998</v>
      </c>
      <c r="O11" s="467">
        <f t="shared" si="2"/>
        <v>1265.222768012</v>
      </c>
      <c r="P11" s="467">
        <f t="shared" si="3"/>
        <v>1801</v>
      </c>
    </row>
    <row r="12" spans="1:16">
      <c r="A12" s="482">
        <v>4</v>
      </c>
      <c r="B12" s="482" t="s">
        <v>260</v>
      </c>
      <c r="C12" s="482" t="s">
        <v>398</v>
      </c>
      <c r="D12" s="483">
        <v>433549504.64999998</v>
      </c>
      <c r="E12" s="483">
        <v>430804.33</v>
      </c>
      <c r="F12" s="483">
        <v>0</v>
      </c>
      <c r="G12" s="483">
        <v>15401144.640000001</v>
      </c>
      <c r="H12" s="483">
        <v>10728</v>
      </c>
      <c r="I12" s="483">
        <v>0</v>
      </c>
      <c r="J12" s="483">
        <v>52095.28</v>
      </c>
      <c r="K12" s="483">
        <v>927548.72</v>
      </c>
      <c r="L12" s="483">
        <v>450371825.62</v>
      </c>
      <c r="M12" s="467">
        <f t="shared" si="0"/>
        <v>41.43</v>
      </c>
      <c r="N12" s="467">
        <f t="shared" si="1"/>
        <v>0.38159948599999999</v>
      </c>
      <c r="O12" s="467">
        <f t="shared" si="2"/>
        <v>41.048400514000001</v>
      </c>
      <c r="P12" s="467">
        <f t="shared" si="3"/>
        <v>69</v>
      </c>
    </row>
    <row r="13" spans="1:16">
      <c r="A13" s="482">
        <v>5</v>
      </c>
      <c r="B13" s="482" t="s">
        <v>259</v>
      </c>
      <c r="C13" s="482" t="s">
        <v>398</v>
      </c>
      <c r="D13" s="483">
        <v>216119112.63</v>
      </c>
      <c r="E13" s="483">
        <v>208279.27</v>
      </c>
      <c r="F13" s="483">
        <v>0</v>
      </c>
      <c r="G13" s="483">
        <v>14075.28</v>
      </c>
      <c r="H13" s="483">
        <v>25020</v>
      </c>
      <c r="I13" s="483">
        <v>0</v>
      </c>
      <c r="J13" s="483">
        <v>278108.27</v>
      </c>
      <c r="K13" s="483">
        <v>4327498.62</v>
      </c>
      <c r="L13" s="483">
        <v>220972094.06999999</v>
      </c>
      <c r="M13" s="467">
        <f t="shared" si="0"/>
        <v>20.53</v>
      </c>
      <c r="N13" s="467">
        <f t="shared" si="1"/>
        <v>5.7883249279999998</v>
      </c>
      <c r="O13" s="467">
        <f t="shared" si="2"/>
        <v>14.741675072000001</v>
      </c>
      <c r="P13" s="467">
        <f t="shared" si="3"/>
        <v>192</v>
      </c>
    </row>
    <row r="14" spans="1:16">
      <c r="A14" s="482">
        <v>6</v>
      </c>
      <c r="B14" s="482" t="s">
        <v>258</v>
      </c>
      <c r="C14" s="482" t="s">
        <v>398</v>
      </c>
      <c r="D14" s="483">
        <v>0</v>
      </c>
      <c r="E14" s="483">
        <v>0</v>
      </c>
      <c r="F14" s="483">
        <v>0</v>
      </c>
      <c r="G14" s="483">
        <v>0</v>
      </c>
      <c r="H14" s="483">
        <v>0</v>
      </c>
      <c r="I14" s="483">
        <v>0</v>
      </c>
      <c r="J14" s="483">
        <v>0</v>
      </c>
      <c r="K14" s="483">
        <v>0</v>
      </c>
      <c r="L14" s="483">
        <v>0</v>
      </c>
      <c r="M14" s="467">
        <f t="shared" si="0"/>
        <v>0</v>
      </c>
      <c r="N14" s="467">
        <f t="shared" si="1"/>
        <v>0</v>
      </c>
      <c r="O14" s="467">
        <f t="shared" si="2"/>
        <v>0</v>
      </c>
      <c r="P14" s="467">
        <f t="shared" si="3"/>
        <v>0</v>
      </c>
    </row>
    <row r="15" spans="1:16">
      <c r="A15" s="482">
        <v>7</v>
      </c>
      <c r="B15" s="482" t="s">
        <v>257</v>
      </c>
      <c r="C15" s="482" t="s">
        <v>398</v>
      </c>
      <c r="D15" s="483">
        <v>212994682.94999999</v>
      </c>
      <c r="E15" s="483">
        <v>590647.06999999995</v>
      </c>
      <c r="F15" s="483">
        <v>0</v>
      </c>
      <c r="G15" s="483">
        <v>41890245.619999997</v>
      </c>
      <c r="H15" s="483">
        <v>432</v>
      </c>
      <c r="I15" s="483">
        <v>0</v>
      </c>
      <c r="J15" s="483">
        <v>11036</v>
      </c>
      <c r="K15" s="483">
        <v>421008.43</v>
      </c>
      <c r="L15" s="483">
        <v>255908052.06999999</v>
      </c>
      <c r="M15" s="467">
        <f t="shared" si="0"/>
        <v>21.27</v>
      </c>
      <c r="N15" s="467">
        <f t="shared" si="1"/>
        <v>8.0490445170000005</v>
      </c>
      <c r="O15" s="467">
        <f t="shared" si="2"/>
        <v>13.220955482999999</v>
      </c>
      <c r="P15" s="467">
        <f t="shared" si="3"/>
        <v>18</v>
      </c>
    </row>
    <row r="16" spans="1:16">
      <c r="A16" s="482">
        <v>8</v>
      </c>
      <c r="B16" s="482" t="s">
        <v>256</v>
      </c>
      <c r="C16" s="482" t="s">
        <v>398</v>
      </c>
      <c r="D16" s="483">
        <v>0</v>
      </c>
      <c r="E16" s="483">
        <v>0</v>
      </c>
      <c r="F16" s="483">
        <v>0</v>
      </c>
      <c r="G16" s="483">
        <v>0</v>
      </c>
      <c r="H16" s="483">
        <v>311270.32</v>
      </c>
      <c r="I16" s="483">
        <v>0</v>
      </c>
      <c r="J16" s="483">
        <v>0</v>
      </c>
      <c r="K16" s="483">
        <v>0</v>
      </c>
      <c r="L16" s="483">
        <v>311270.32</v>
      </c>
      <c r="M16" s="467">
        <f t="shared" si="0"/>
        <v>0</v>
      </c>
      <c r="N16" s="467">
        <f t="shared" si="1"/>
        <v>0</v>
      </c>
      <c r="O16" s="467">
        <f t="shared" si="2"/>
        <v>0</v>
      </c>
      <c r="P16" s="467">
        <f t="shared" si="3"/>
        <v>0</v>
      </c>
    </row>
    <row r="17" spans="1:16">
      <c r="A17" s="482">
        <v>9</v>
      </c>
      <c r="B17" s="482" t="s">
        <v>255</v>
      </c>
      <c r="C17" s="482" t="s">
        <v>398</v>
      </c>
      <c r="D17" s="483">
        <v>0</v>
      </c>
      <c r="E17" s="483">
        <v>0</v>
      </c>
      <c r="F17" s="483">
        <v>0</v>
      </c>
      <c r="G17" s="483">
        <v>0</v>
      </c>
      <c r="H17" s="483">
        <v>0</v>
      </c>
      <c r="I17" s="483">
        <v>0</v>
      </c>
      <c r="J17" s="483">
        <v>0</v>
      </c>
      <c r="K17" s="483">
        <v>0</v>
      </c>
      <c r="L17" s="483">
        <v>0</v>
      </c>
      <c r="M17" s="467">
        <f t="shared" si="0"/>
        <v>0</v>
      </c>
      <c r="N17" s="467">
        <f t="shared" si="1"/>
        <v>0</v>
      </c>
      <c r="O17" s="467">
        <f t="shared" si="2"/>
        <v>0</v>
      </c>
      <c r="P17" s="467">
        <f t="shared" si="3"/>
        <v>0</v>
      </c>
    </row>
    <row r="18" spans="1:16">
      <c r="A18" s="482">
        <v>8</v>
      </c>
      <c r="B18" s="482" t="s">
        <v>254</v>
      </c>
      <c r="C18" s="482" t="s">
        <v>398</v>
      </c>
      <c r="D18" s="483">
        <v>26073814.829999998</v>
      </c>
      <c r="E18" s="483">
        <v>743515.51</v>
      </c>
      <c r="F18" s="483">
        <v>0</v>
      </c>
      <c r="G18" s="483">
        <v>3472941.73</v>
      </c>
      <c r="H18" s="483">
        <v>12592.66</v>
      </c>
      <c r="I18" s="483">
        <v>-6299.6</v>
      </c>
      <c r="J18" s="483">
        <v>1480066.58</v>
      </c>
      <c r="K18" s="483">
        <v>5958813.7599999998</v>
      </c>
      <c r="L18" s="483">
        <v>37735445.469999999</v>
      </c>
      <c r="N18" s="467">
        <f t="shared" si="1"/>
        <v>0</v>
      </c>
      <c r="O18" s="467">
        <f t="shared" si="2"/>
        <v>0</v>
      </c>
      <c r="P18" s="467">
        <f t="shared" si="3"/>
        <v>2</v>
      </c>
    </row>
    <row r="19" spans="1:16">
      <c r="A19" s="482">
        <v>9</v>
      </c>
      <c r="B19" s="482" t="s">
        <v>253</v>
      </c>
      <c r="C19" s="482" t="s">
        <v>398</v>
      </c>
      <c r="D19" s="483">
        <v>2815302</v>
      </c>
      <c r="E19" s="483">
        <v>0</v>
      </c>
      <c r="F19" s="483">
        <v>0</v>
      </c>
      <c r="G19" s="483">
        <v>0</v>
      </c>
      <c r="H19" s="483">
        <v>0</v>
      </c>
      <c r="I19" s="483">
        <v>0</v>
      </c>
      <c r="J19" s="483">
        <v>389</v>
      </c>
      <c r="K19" s="483">
        <v>53807.1</v>
      </c>
      <c r="L19" s="483">
        <v>2869498.1</v>
      </c>
      <c r="N19" s="467">
        <f t="shared" si="1"/>
        <v>0.26954496899999997</v>
      </c>
      <c r="O19" s="467">
        <f t="shared" si="2"/>
        <v>-0.26954496899999997</v>
      </c>
      <c r="P19" s="467">
        <f t="shared" si="3"/>
        <v>0</v>
      </c>
    </row>
    <row r="20" spans="1:16">
      <c r="A20" s="482">
        <v>10</v>
      </c>
      <c r="B20" s="482" t="s">
        <v>252</v>
      </c>
      <c r="C20" s="482" t="s">
        <v>398</v>
      </c>
      <c r="D20" s="483">
        <v>0</v>
      </c>
      <c r="E20" s="483">
        <v>38742699.439999998</v>
      </c>
      <c r="F20" s="483">
        <v>0</v>
      </c>
      <c r="G20" s="483">
        <v>5107559.0999999996</v>
      </c>
      <c r="H20" s="483">
        <v>0</v>
      </c>
      <c r="I20" s="483">
        <v>1510</v>
      </c>
      <c r="J20" s="483">
        <v>0.8</v>
      </c>
      <c r="K20" s="483">
        <v>37927.629999999997</v>
      </c>
      <c r="L20" s="483">
        <v>43889696.969999999</v>
      </c>
      <c r="M20" s="467">
        <f t="shared" si="0"/>
        <v>0</v>
      </c>
      <c r="N20" s="467">
        <f t="shared" si="1"/>
        <v>0</v>
      </c>
      <c r="O20" s="467">
        <f t="shared" si="2"/>
        <v>0</v>
      </c>
      <c r="P20" s="467">
        <f t="shared" si="3"/>
        <v>3</v>
      </c>
    </row>
    <row r="21" spans="1:16">
      <c r="A21" s="482">
        <v>11</v>
      </c>
      <c r="B21" s="482" t="s">
        <v>250</v>
      </c>
      <c r="C21" s="482" t="s">
        <v>398</v>
      </c>
      <c r="D21" s="483">
        <v>21717564221.75</v>
      </c>
      <c r="E21" s="483">
        <v>50470169.420000002</v>
      </c>
      <c r="F21" s="483">
        <v>0</v>
      </c>
      <c r="G21" s="483">
        <v>2405639194.9099998</v>
      </c>
      <c r="H21" s="483">
        <v>670909.68999999994</v>
      </c>
      <c r="I21" s="483">
        <v>26357.13</v>
      </c>
      <c r="J21" s="483">
        <v>1688009.58</v>
      </c>
      <c r="K21" s="483">
        <v>46833782.68</v>
      </c>
      <c r="L21" s="483">
        <v>24222892645.16</v>
      </c>
      <c r="M21" s="467">
        <f t="shared" si="0"/>
        <v>2171.7600000000002</v>
      </c>
      <c r="N21" s="467">
        <f t="shared" si="1"/>
        <v>112.93372268099999</v>
      </c>
      <c r="O21" s="467">
        <f t="shared" si="2"/>
        <v>2058.8262773190004</v>
      </c>
      <c r="P21" s="467">
        <f t="shared" si="3"/>
        <v>0</v>
      </c>
    </row>
    <row r="22" spans="1:16">
      <c r="A22" s="482">
        <v>14</v>
      </c>
      <c r="B22" s="482" t="s">
        <v>299</v>
      </c>
      <c r="C22" s="482" t="s">
        <v>398</v>
      </c>
      <c r="D22" s="483">
        <v>28889116.829999998</v>
      </c>
      <c r="E22" s="483">
        <v>743515.51</v>
      </c>
      <c r="F22" s="483">
        <v>0</v>
      </c>
      <c r="G22" s="483">
        <v>3472941.73</v>
      </c>
      <c r="H22" s="483">
        <v>12592.66</v>
      </c>
      <c r="I22" s="483">
        <v>-6299.6</v>
      </c>
      <c r="J22" s="483">
        <v>1480455.58</v>
      </c>
      <c r="K22" s="483">
        <v>6012620.8600000003</v>
      </c>
      <c r="L22" s="483">
        <v>40604943.57</v>
      </c>
      <c r="M22" s="467">
        <f t="shared" si="0"/>
        <v>-18.739999999999998</v>
      </c>
      <c r="N22" s="467">
        <f t="shared" si="1"/>
        <v>0.26954496899999997</v>
      </c>
      <c r="O22" s="467">
        <f t="shared" si="2"/>
        <v>-19.009544968999997</v>
      </c>
      <c r="P22" s="467">
        <f t="shared" si="3"/>
        <v>3227</v>
      </c>
    </row>
    <row r="23" spans="1:16">
      <c r="A23" s="482">
        <v>13</v>
      </c>
      <c r="B23" s="482" t="s">
        <v>248</v>
      </c>
      <c r="C23" s="482" t="s">
        <v>398</v>
      </c>
      <c r="D23" s="483">
        <v>0</v>
      </c>
      <c r="E23" s="483">
        <v>38742699.439999998</v>
      </c>
      <c r="F23" s="483">
        <v>0</v>
      </c>
      <c r="G23" s="483">
        <v>5107559.0999999996</v>
      </c>
      <c r="H23" s="483">
        <v>0</v>
      </c>
      <c r="I23" s="483">
        <v>1510</v>
      </c>
      <c r="J23" s="483">
        <v>0.8</v>
      </c>
      <c r="K23" s="483">
        <v>37927.629999999997</v>
      </c>
      <c r="L23" s="483">
        <v>43889696.969999999</v>
      </c>
      <c r="M23" s="467">
        <f t="shared" si="0"/>
        <v>-0.75</v>
      </c>
      <c r="N23" s="467">
        <f t="shared" si="1"/>
        <v>0</v>
      </c>
      <c r="O23" s="467">
        <f t="shared" si="2"/>
        <v>-0.75</v>
      </c>
      <c r="P23" s="467">
        <f t="shared" si="3"/>
        <v>2</v>
      </c>
    </row>
    <row r="24" spans="1:16">
      <c r="A24" s="482">
        <v>14</v>
      </c>
      <c r="B24" s="482" t="s">
        <v>247</v>
      </c>
      <c r="C24" s="482" t="s">
        <v>398</v>
      </c>
      <c r="D24" s="483">
        <v>21746453338.580002</v>
      </c>
      <c r="E24" s="483">
        <v>89956384.370000005</v>
      </c>
      <c r="F24" s="483">
        <v>0</v>
      </c>
      <c r="G24" s="483">
        <v>2414219695.7399998</v>
      </c>
      <c r="H24" s="483">
        <v>683502.35</v>
      </c>
      <c r="I24" s="483">
        <v>21567.53</v>
      </c>
      <c r="J24" s="483">
        <v>3168465.96</v>
      </c>
      <c r="K24" s="483">
        <v>52884331.170000002</v>
      </c>
      <c r="L24" s="483">
        <v>24307387285.700001</v>
      </c>
      <c r="M24" s="467">
        <f t="shared" si="0"/>
        <v>2174.65</v>
      </c>
      <c r="N24" s="467">
        <f t="shared" si="1"/>
        <v>113.20326765</v>
      </c>
      <c r="O24" s="467">
        <f t="shared" si="2"/>
        <v>2061.4467323500003</v>
      </c>
    </row>
    <row r="25" spans="1:16" ht="28.5" customHeight="1">
      <c r="A25" s="500" t="s">
        <v>246</v>
      </c>
      <c r="B25" s="500"/>
      <c r="C25" s="500"/>
      <c r="D25" s="500"/>
      <c r="E25" s="500"/>
      <c r="F25" s="500"/>
      <c r="G25" s="500"/>
      <c r="H25" s="500"/>
      <c r="I25" s="500"/>
      <c r="J25" s="500"/>
      <c r="K25" s="500"/>
      <c r="L25" s="500"/>
      <c r="N25" s="467">
        <f t="shared" si="1"/>
        <v>0</v>
      </c>
      <c r="O25" s="467">
        <f t="shared" si="2"/>
        <v>0</v>
      </c>
    </row>
    <row r="26" spans="1:16" ht="15" customHeight="1">
      <c r="A26" s="497" t="s">
        <v>399</v>
      </c>
      <c r="B26" s="497"/>
      <c r="C26" s="497"/>
      <c r="D26" s="497"/>
      <c r="E26" s="497"/>
      <c r="F26" s="497"/>
      <c r="G26" s="497"/>
      <c r="H26" s="497"/>
      <c r="I26" s="497"/>
      <c r="J26" s="497"/>
      <c r="K26" s="497"/>
      <c r="L26" s="497"/>
      <c r="M26" s="467">
        <f t="shared" si="0"/>
        <v>0</v>
      </c>
    </row>
    <row r="27" spans="1:16" ht="28.5" customHeight="1">
      <c r="A27" s="500" t="s">
        <v>246</v>
      </c>
      <c r="B27" s="500"/>
      <c r="C27" s="500"/>
      <c r="D27" s="500"/>
      <c r="E27" s="500"/>
      <c r="F27" s="500"/>
      <c r="G27" s="500"/>
      <c r="H27" s="500"/>
      <c r="I27" s="500"/>
      <c r="J27" s="500"/>
      <c r="K27" s="500"/>
      <c r="L27" s="500"/>
    </row>
    <row r="28" spans="1:16">
      <c r="A28" s="498" t="s">
        <v>282</v>
      </c>
      <c r="B28" s="498" t="s">
        <v>281</v>
      </c>
      <c r="C28" s="482" t="s">
        <v>398</v>
      </c>
      <c r="D28" s="499" t="s">
        <v>292</v>
      </c>
      <c r="E28" s="499" t="s">
        <v>291</v>
      </c>
      <c r="F28" s="499" t="s">
        <v>298</v>
      </c>
      <c r="G28" s="499" t="s">
        <v>297</v>
      </c>
      <c r="H28" s="499" t="s">
        <v>296</v>
      </c>
      <c r="I28" s="499" t="s">
        <v>295</v>
      </c>
      <c r="J28" s="499" t="s">
        <v>294</v>
      </c>
      <c r="K28" s="499" t="s">
        <v>293</v>
      </c>
      <c r="L28" s="499" t="s">
        <v>267</v>
      </c>
    </row>
    <row r="29" spans="1:16" ht="28.5" customHeight="1">
      <c r="A29" s="500" t="s">
        <v>246</v>
      </c>
      <c r="B29" s="500"/>
      <c r="C29" s="500"/>
      <c r="D29" s="500"/>
      <c r="E29" s="500"/>
      <c r="F29" s="500"/>
      <c r="G29" s="500"/>
      <c r="H29" s="500"/>
      <c r="I29" s="500"/>
      <c r="J29" s="500"/>
      <c r="K29" s="500"/>
      <c r="L29" s="500"/>
    </row>
    <row r="30" spans="1:16">
      <c r="A30" s="482">
        <v>1</v>
      </c>
      <c r="B30" s="482" t="s">
        <v>263</v>
      </c>
      <c r="C30" s="482" t="s">
        <v>398</v>
      </c>
      <c r="D30" s="483">
        <v>1395179</v>
      </c>
      <c r="E30" s="483">
        <v>1115208367</v>
      </c>
      <c r="F30" s="483">
        <v>135675939.09</v>
      </c>
      <c r="G30" s="483">
        <v>4200669911.3400002</v>
      </c>
      <c r="H30" s="483">
        <v>2681230156.4699998</v>
      </c>
      <c r="I30" s="483">
        <v>0</v>
      </c>
      <c r="J30" s="483">
        <v>34629251.219999999</v>
      </c>
      <c r="K30" s="483">
        <v>23331143.43</v>
      </c>
      <c r="L30" s="483">
        <v>7075536401.5500002</v>
      </c>
    </row>
    <row r="31" spans="1:16">
      <c r="A31" s="482">
        <v>2</v>
      </c>
      <c r="B31" s="482" t="s">
        <v>262</v>
      </c>
      <c r="C31" s="482" t="s">
        <v>398</v>
      </c>
      <c r="D31" s="483">
        <v>17592</v>
      </c>
      <c r="E31" s="483">
        <v>31337509</v>
      </c>
      <c r="F31" s="483">
        <v>5899278.5300000003</v>
      </c>
      <c r="G31" s="483">
        <v>121999874.12</v>
      </c>
      <c r="H31" s="483">
        <v>74366472.620000005</v>
      </c>
      <c r="I31" s="483">
        <v>0</v>
      </c>
      <c r="J31" s="483">
        <v>4208372.88</v>
      </c>
      <c r="K31" s="483">
        <v>1509589.45</v>
      </c>
      <c r="L31" s="483">
        <v>207983587.59999999</v>
      </c>
    </row>
    <row r="32" spans="1:16" ht="24">
      <c r="A32" s="482">
        <v>3</v>
      </c>
      <c r="B32" s="482" t="s">
        <v>261</v>
      </c>
      <c r="C32" s="482" t="s">
        <v>398</v>
      </c>
      <c r="D32" s="483">
        <v>286932</v>
      </c>
      <c r="E32" s="483">
        <v>1801124195</v>
      </c>
      <c r="F32" s="483">
        <v>845572319.88</v>
      </c>
      <c r="G32" s="483">
        <v>8302026636.8800001</v>
      </c>
      <c r="H32" s="483">
        <v>4296532553.6099997</v>
      </c>
      <c r="I32" s="483">
        <v>177</v>
      </c>
      <c r="J32" s="483">
        <v>62981481.009999998</v>
      </c>
      <c r="K32" s="483">
        <v>64267763.990000002</v>
      </c>
      <c r="L32" s="483">
        <v>13571380932.370001</v>
      </c>
    </row>
    <row r="33" spans="1:12">
      <c r="A33" s="482">
        <v>4</v>
      </c>
      <c r="B33" s="482" t="s">
        <v>260</v>
      </c>
      <c r="C33" s="482" t="s">
        <v>398</v>
      </c>
      <c r="D33" s="483">
        <v>20788</v>
      </c>
      <c r="E33" s="483">
        <v>69173947</v>
      </c>
      <c r="F33" s="483">
        <v>3815994.86</v>
      </c>
      <c r="G33" s="483">
        <v>248936478.13</v>
      </c>
      <c r="H33" s="483">
        <v>169023980.24000001</v>
      </c>
      <c r="I33" s="483">
        <v>0</v>
      </c>
      <c r="J33" s="483">
        <v>6278593.9199999999</v>
      </c>
      <c r="K33" s="483">
        <v>5494457.5</v>
      </c>
      <c r="L33" s="483">
        <v>433549504.64999998</v>
      </c>
    </row>
    <row r="34" spans="1:12">
      <c r="A34" s="482">
        <v>5</v>
      </c>
      <c r="B34" s="482" t="s">
        <v>259</v>
      </c>
      <c r="C34" s="482" t="s">
        <v>398</v>
      </c>
      <c r="D34" s="483">
        <v>89035</v>
      </c>
      <c r="E34" s="483">
        <v>191511577</v>
      </c>
      <c r="F34" s="483">
        <v>57883249.280000001</v>
      </c>
      <c r="G34" s="483">
        <v>151897191.00999999</v>
      </c>
      <c r="H34" s="483">
        <v>0</v>
      </c>
      <c r="I34" s="483">
        <v>0</v>
      </c>
      <c r="J34" s="483">
        <v>4787006.8600000003</v>
      </c>
      <c r="K34" s="483">
        <v>1551665.48</v>
      </c>
      <c r="L34" s="483">
        <v>216119112.63</v>
      </c>
    </row>
    <row r="35" spans="1:12">
      <c r="A35" s="482">
        <v>6</v>
      </c>
      <c r="B35" s="482" t="s">
        <v>258</v>
      </c>
      <c r="C35" s="482" t="s">
        <v>398</v>
      </c>
      <c r="D35" s="483">
        <v>0</v>
      </c>
      <c r="E35" s="483">
        <v>0</v>
      </c>
      <c r="F35" s="483">
        <v>0</v>
      </c>
      <c r="G35" s="483">
        <v>0</v>
      </c>
      <c r="H35" s="483">
        <v>0</v>
      </c>
      <c r="I35" s="483">
        <v>0</v>
      </c>
      <c r="J35" s="483">
        <v>0</v>
      </c>
      <c r="K35" s="483">
        <v>0</v>
      </c>
      <c r="L35" s="483">
        <v>0</v>
      </c>
    </row>
    <row r="36" spans="1:12">
      <c r="A36" s="482">
        <v>7</v>
      </c>
      <c r="B36" s="482" t="s">
        <v>257</v>
      </c>
      <c r="C36" s="482" t="s">
        <v>398</v>
      </c>
      <c r="D36" s="483">
        <v>8522</v>
      </c>
      <c r="E36" s="483">
        <v>18271617</v>
      </c>
      <c r="F36" s="483">
        <v>80490445.170000002</v>
      </c>
      <c r="G36" s="483">
        <v>84663368.420000002</v>
      </c>
      <c r="H36" s="483">
        <v>43500214.850000001</v>
      </c>
      <c r="I36" s="483">
        <v>0</v>
      </c>
      <c r="J36" s="483">
        <v>1154729.8799999999</v>
      </c>
      <c r="K36" s="483">
        <v>3185924.63</v>
      </c>
      <c r="L36" s="483">
        <v>212994682.94999999</v>
      </c>
    </row>
    <row r="37" spans="1:12">
      <c r="A37" s="482">
        <v>8</v>
      </c>
      <c r="B37" s="482" t="s">
        <v>256</v>
      </c>
      <c r="C37" s="482" t="s">
        <v>398</v>
      </c>
      <c r="D37" s="483">
        <v>533</v>
      </c>
      <c r="E37" s="483">
        <v>0</v>
      </c>
      <c r="F37" s="483">
        <v>0</v>
      </c>
      <c r="G37" s="483">
        <v>0</v>
      </c>
      <c r="H37" s="483">
        <v>0</v>
      </c>
      <c r="I37" s="483">
        <v>0</v>
      </c>
      <c r="J37" s="483">
        <v>0</v>
      </c>
      <c r="K37" s="483">
        <v>0</v>
      </c>
      <c r="L37" s="483">
        <v>0</v>
      </c>
    </row>
    <row r="38" spans="1:12">
      <c r="A38" s="482">
        <v>9</v>
      </c>
      <c r="B38" s="482" t="s">
        <v>255</v>
      </c>
      <c r="C38" s="482" t="s">
        <v>398</v>
      </c>
      <c r="D38" s="483"/>
      <c r="E38" s="483"/>
      <c r="F38" s="483">
        <v>0</v>
      </c>
      <c r="G38" s="483">
        <v>0</v>
      </c>
      <c r="H38" s="483">
        <v>0</v>
      </c>
      <c r="I38" s="483">
        <v>0</v>
      </c>
      <c r="J38" s="483">
        <v>0</v>
      </c>
      <c r="K38" s="483">
        <v>0</v>
      </c>
      <c r="L38" s="483">
        <v>0</v>
      </c>
    </row>
    <row r="39" spans="1:12">
      <c r="A39" s="482">
        <v>8</v>
      </c>
      <c r="B39" s="482" t="s">
        <v>254</v>
      </c>
      <c r="C39" s="482" t="s">
        <v>398</v>
      </c>
      <c r="D39" s="483">
        <v>269308</v>
      </c>
      <c r="E39" s="483">
        <v>1849974</v>
      </c>
      <c r="F39" s="483">
        <v>0</v>
      </c>
      <c r="G39" s="483">
        <v>0</v>
      </c>
      <c r="H39" s="483">
        <v>0</v>
      </c>
      <c r="I39" s="483">
        <v>0</v>
      </c>
      <c r="J39" s="483">
        <v>0</v>
      </c>
      <c r="K39" s="483">
        <v>26073814.829999998</v>
      </c>
      <c r="L39" s="483">
        <v>26073814.829999998</v>
      </c>
    </row>
    <row r="40" spans="1:12">
      <c r="A40" s="482">
        <v>9</v>
      </c>
      <c r="B40" s="482" t="s">
        <v>253</v>
      </c>
      <c r="C40" s="482" t="s">
        <v>398</v>
      </c>
      <c r="D40" s="483">
        <v>1941</v>
      </c>
      <c r="E40" s="483">
        <v>0</v>
      </c>
      <c r="F40" s="483">
        <v>2695449.69</v>
      </c>
      <c r="G40" s="483">
        <v>0</v>
      </c>
      <c r="H40" s="483">
        <v>0</v>
      </c>
      <c r="I40" s="483">
        <v>0</v>
      </c>
      <c r="J40" s="483">
        <v>0</v>
      </c>
      <c r="K40" s="483">
        <v>119852.31</v>
      </c>
      <c r="L40" s="483">
        <v>2815302</v>
      </c>
    </row>
    <row r="41" spans="1:12">
      <c r="A41" s="482">
        <v>10</v>
      </c>
      <c r="B41" s="482" t="s">
        <v>252</v>
      </c>
      <c r="C41" s="482" t="s">
        <v>398</v>
      </c>
      <c r="D41" s="483">
        <v>325</v>
      </c>
      <c r="E41" s="483">
        <v>3205448</v>
      </c>
      <c r="F41" s="483">
        <v>0</v>
      </c>
      <c r="G41" s="483">
        <v>0</v>
      </c>
      <c r="H41" s="483">
        <v>0</v>
      </c>
      <c r="I41" s="483">
        <v>0</v>
      </c>
      <c r="J41" s="483">
        <v>0</v>
      </c>
      <c r="K41" s="483">
        <v>0</v>
      </c>
      <c r="L41" s="483">
        <v>0</v>
      </c>
    </row>
    <row r="42" spans="1:12">
      <c r="A42" s="482">
        <v>11</v>
      </c>
      <c r="B42" s="482" t="s">
        <v>250</v>
      </c>
      <c r="C42" s="482" t="s">
        <v>398</v>
      </c>
      <c r="D42" s="483">
        <v>1818581</v>
      </c>
      <c r="E42" s="483">
        <v>3226627212</v>
      </c>
      <c r="F42" s="483">
        <v>1129337226.8099999</v>
      </c>
      <c r="G42" s="483">
        <v>13110193459.9</v>
      </c>
      <c r="H42" s="483">
        <v>7264653377.79</v>
      </c>
      <c r="I42" s="483">
        <v>177</v>
      </c>
      <c r="J42" s="483">
        <v>114039435.77</v>
      </c>
      <c r="K42" s="483">
        <v>99340544.480000004</v>
      </c>
      <c r="L42" s="483">
        <v>21717564221.75</v>
      </c>
    </row>
    <row r="43" spans="1:12">
      <c r="A43" s="482">
        <v>14</v>
      </c>
      <c r="B43" s="482" t="s">
        <v>249</v>
      </c>
      <c r="C43" s="482" t="s">
        <v>398</v>
      </c>
      <c r="D43" s="483">
        <v>271249</v>
      </c>
      <c r="E43" s="483">
        <v>1849974</v>
      </c>
      <c r="F43" s="483">
        <v>2695449.69</v>
      </c>
      <c r="G43" s="483">
        <v>0</v>
      </c>
      <c r="H43" s="483">
        <v>0</v>
      </c>
      <c r="I43" s="483">
        <v>0</v>
      </c>
      <c r="J43" s="483">
        <v>0</v>
      </c>
      <c r="K43" s="483">
        <v>26193667.140000001</v>
      </c>
      <c r="L43" s="483">
        <v>28889116.829999998</v>
      </c>
    </row>
    <row r="44" spans="1:12">
      <c r="A44" s="482">
        <v>13</v>
      </c>
      <c r="B44" s="482" t="s">
        <v>248</v>
      </c>
      <c r="C44" s="482" t="s">
        <v>398</v>
      </c>
      <c r="D44" s="483">
        <v>325</v>
      </c>
      <c r="E44" s="483">
        <v>3205448</v>
      </c>
      <c r="F44" s="483">
        <v>0</v>
      </c>
      <c r="G44" s="483">
        <v>0</v>
      </c>
      <c r="H44" s="483">
        <v>0</v>
      </c>
      <c r="I44" s="483">
        <v>0</v>
      </c>
      <c r="J44" s="483">
        <v>0</v>
      </c>
      <c r="K44" s="483">
        <v>0</v>
      </c>
      <c r="L44" s="483">
        <v>0</v>
      </c>
    </row>
    <row r="45" spans="1:12">
      <c r="A45" s="482">
        <v>14</v>
      </c>
      <c r="B45" s="482" t="s">
        <v>247</v>
      </c>
      <c r="C45" s="482" t="s">
        <v>398</v>
      </c>
      <c r="D45" s="483">
        <v>2090155</v>
      </c>
      <c r="E45" s="483">
        <v>3231682634</v>
      </c>
      <c r="F45" s="483">
        <v>1132032676.5</v>
      </c>
      <c r="G45" s="483">
        <v>13110193459.9</v>
      </c>
      <c r="H45" s="483">
        <v>7264653377.79</v>
      </c>
      <c r="I45" s="483">
        <v>177</v>
      </c>
      <c r="J45" s="483">
        <v>114039435.77</v>
      </c>
      <c r="K45" s="483">
        <v>125534211.62</v>
      </c>
      <c r="L45" s="483">
        <v>21746453338.580002</v>
      </c>
    </row>
    <row r="46" spans="1:12" ht="28.5" customHeight="1">
      <c r="A46" s="500" t="s">
        <v>246</v>
      </c>
      <c r="B46" s="500"/>
      <c r="C46" s="500"/>
      <c r="D46" s="500"/>
      <c r="E46" s="500"/>
      <c r="F46" s="500"/>
      <c r="G46" s="500"/>
      <c r="H46" s="500"/>
      <c r="I46" s="500"/>
      <c r="J46" s="500"/>
      <c r="K46" s="500"/>
      <c r="L46" s="500"/>
    </row>
    <row r="47" spans="1:12">
      <c r="A47" s="501" t="s">
        <v>398</v>
      </c>
      <c r="B47" s="501"/>
      <c r="C47" s="501"/>
      <c r="D47" s="501"/>
      <c r="E47" s="501"/>
      <c r="F47" s="501"/>
      <c r="G47" s="501"/>
      <c r="H47" s="501"/>
      <c r="I47" s="501"/>
      <c r="J47" s="501"/>
      <c r="K47" s="501"/>
      <c r="L47" s="501"/>
    </row>
    <row r="48" spans="1:12">
      <c r="A48" s="501" t="s">
        <v>398</v>
      </c>
      <c r="B48" s="501"/>
      <c r="C48" s="501"/>
      <c r="D48" s="501"/>
      <c r="E48" s="501"/>
      <c r="F48" s="501"/>
      <c r="G48" s="501"/>
      <c r="H48" s="501"/>
      <c r="I48" s="501"/>
      <c r="J48" s="501"/>
      <c r="K48" s="501"/>
      <c r="L48" s="501"/>
    </row>
    <row r="49" spans="1:12" ht="15" customHeight="1">
      <c r="A49" s="502" t="s">
        <v>400</v>
      </c>
      <c r="B49" s="502"/>
      <c r="C49" s="502"/>
      <c r="D49" s="502"/>
      <c r="E49" s="502"/>
      <c r="F49" s="502"/>
      <c r="G49" s="502"/>
      <c r="H49" s="502"/>
      <c r="I49" s="502"/>
      <c r="J49" s="502"/>
      <c r="K49" s="502"/>
      <c r="L49" s="502"/>
    </row>
    <row r="50" spans="1:12" ht="24" customHeight="1">
      <c r="A50" s="498" t="s">
        <v>391</v>
      </c>
      <c r="B50" s="498" t="s">
        <v>392</v>
      </c>
      <c r="C50" s="498" t="s">
        <v>393</v>
      </c>
      <c r="D50" s="498"/>
      <c r="E50" s="497"/>
      <c r="F50" s="497"/>
      <c r="G50" s="497"/>
      <c r="H50" s="497"/>
      <c r="I50" s="499"/>
      <c r="J50" s="499"/>
      <c r="K50" s="499"/>
      <c r="L50"/>
    </row>
    <row r="51" spans="1:12" ht="15" customHeight="1">
      <c r="A51" s="498" t="s">
        <v>394</v>
      </c>
      <c r="B51" s="498" t="s">
        <v>395</v>
      </c>
      <c r="C51" s="497" t="s">
        <v>396</v>
      </c>
      <c r="D51" s="497" t="s">
        <v>397</v>
      </c>
      <c r="E51" s="497"/>
      <c r="F51" s="497"/>
      <c r="G51" s="497"/>
      <c r="H51" s="497"/>
      <c r="I51" s="499"/>
      <c r="J51" s="499"/>
      <c r="K51" s="499"/>
      <c r="L51"/>
    </row>
    <row r="52" spans="1:12" ht="28.5" customHeight="1">
      <c r="A52" s="500" t="s">
        <v>246</v>
      </c>
      <c r="B52" s="500"/>
      <c r="C52" s="500"/>
      <c r="D52" s="500"/>
      <c r="E52" s="500"/>
      <c r="F52" s="500"/>
      <c r="G52" s="500"/>
      <c r="H52" s="500"/>
      <c r="I52" s="500"/>
      <c r="J52" s="500"/>
      <c r="K52" s="500"/>
      <c r="L52" s="500"/>
    </row>
    <row r="53" spans="1:12">
      <c r="A53" s="498" t="s">
        <v>282</v>
      </c>
      <c r="B53" s="498" t="s">
        <v>281</v>
      </c>
      <c r="C53" s="482" t="s">
        <v>398</v>
      </c>
      <c r="D53" s="499" t="s">
        <v>292</v>
      </c>
      <c r="E53" s="499" t="s">
        <v>291</v>
      </c>
      <c r="F53" s="499" t="s">
        <v>290</v>
      </c>
      <c r="G53" s="499" t="s">
        <v>289</v>
      </c>
      <c r="H53" s="499" t="s">
        <v>288</v>
      </c>
      <c r="I53" s="499" t="s">
        <v>287</v>
      </c>
      <c r="J53" s="499" t="s">
        <v>286</v>
      </c>
      <c r="K53" s="499" t="s">
        <v>285</v>
      </c>
      <c r="L53" s="499" t="s">
        <v>284</v>
      </c>
    </row>
    <row r="54" spans="1:12" ht="28.5" customHeight="1">
      <c r="A54" s="500" t="s">
        <v>246</v>
      </c>
      <c r="B54" s="500"/>
      <c r="C54" s="500"/>
      <c r="D54" s="500"/>
      <c r="E54" s="500"/>
      <c r="F54" s="500"/>
      <c r="G54" s="500"/>
      <c r="H54" s="500"/>
      <c r="I54" s="500"/>
      <c r="J54" s="500"/>
      <c r="K54" s="500"/>
      <c r="L54" s="500"/>
    </row>
    <row r="55" spans="1:12">
      <c r="A55" s="482">
        <v>1</v>
      </c>
      <c r="B55" s="482" t="s">
        <v>263</v>
      </c>
      <c r="C55" s="482" t="s">
        <v>398</v>
      </c>
      <c r="D55" s="483">
        <v>2773375</v>
      </c>
      <c r="E55" s="483">
        <v>1115208367</v>
      </c>
      <c r="F55" s="483">
        <v>-132289666.59999999</v>
      </c>
      <c r="G55" s="483">
        <v>8042864993.1400003</v>
      </c>
      <c r="H55" s="483">
        <v>7190485016.6499996</v>
      </c>
      <c r="I55" s="483">
        <v>200885131.34</v>
      </c>
      <c r="J55" s="483">
        <v>-6996842.9699999997</v>
      </c>
      <c r="K55" s="483">
        <v>0</v>
      </c>
      <c r="L55" s="483">
        <v>512208335.57999998</v>
      </c>
    </row>
    <row r="56" spans="1:12">
      <c r="A56" s="482">
        <v>2</v>
      </c>
      <c r="B56" s="482" t="s">
        <v>262</v>
      </c>
      <c r="C56" s="482" t="s">
        <v>398</v>
      </c>
      <c r="D56" s="483">
        <v>28892</v>
      </c>
      <c r="E56" s="483">
        <v>31337509</v>
      </c>
      <c r="F56" s="483">
        <v>-21933401.289999999</v>
      </c>
      <c r="G56" s="483">
        <v>221869636.72</v>
      </c>
      <c r="H56" s="483">
        <v>186511065.83000001</v>
      </c>
      <c r="I56" s="483">
        <v>22244041.41</v>
      </c>
      <c r="J56" s="483">
        <v>1056210.45</v>
      </c>
      <c r="K56" s="483">
        <v>0</v>
      </c>
      <c r="L56" s="483">
        <v>-7762661.3600000003</v>
      </c>
    </row>
    <row r="57" spans="1:12" ht="24">
      <c r="A57" s="482">
        <v>3</v>
      </c>
      <c r="B57" s="482" t="s">
        <v>261</v>
      </c>
      <c r="C57" s="482" t="s">
        <v>398</v>
      </c>
      <c r="D57" s="483">
        <v>484675</v>
      </c>
      <c r="E57" s="483">
        <v>1801124195</v>
      </c>
      <c r="F57" s="483">
        <v>-3023429043.6199999</v>
      </c>
      <c r="G57" s="483">
        <v>15030594773.219999</v>
      </c>
      <c r="H57" s="483">
        <v>14368386676.74</v>
      </c>
      <c r="I57" s="483">
        <v>362838671.02999997</v>
      </c>
      <c r="J57" s="483">
        <v>5364665.1900000004</v>
      </c>
      <c r="K57" s="483">
        <v>0</v>
      </c>
      <c r="L57" s="483">
        <v>-2718694952.98</v>
      </c>
    </row>
    <row r="58" spans="1:12">
      <c r="A58" s="482">
        <v>4</v>
      </c>
      <c r="B58" s="482" t="s">
        <v>260</v>
      </c>
      <c r="C58" s="482" t="s">
        <v>398</v>
      </c>
      <c r="D58" s="483">
        <v>37498</v>
      </c>
      <c r="E58" s="483">
        <v>69173947</v>
      </c>
      <c r="F58" s="483">
        <v>191942679.06</v>
      </c>
      <c r="G58" s="483">
        <v>450371825.62</v>
      </c>
      <c r="H58" s="483">
        <v>163720641.44999999</v>
      </c>
      <c r="I58" s="483">
        <v>270313400.13999999</v>
      </c>
      <c r="J58" s="483">
        <v>179928.87</v>
      </c>
      <c r="K58" s="483">
        <v>0</v>
      </c>
      <c r="L58" s="483">
        <v>208460391.96000001</v>
      </c>
    </row>
    <row r="59" spans="1:12">
      <c r="A59" s="482">
        <v>5</v>
      </c>
      <c r="B59" s="482" t="s">
        <v>259</v>
      </c>
      <c r="C59" s="482" t="s">
        <v>398</v>
      </c>
      <c r="D59" s="483">
        <v>210200</v>
      </c>
      <c r="E59" s="483">
        <v>191511577</v>
      </c>
      <c r="F59" s="483">
        <v>77078233.609999999</v>
      </c>
      <c r="G59" s="483">
        <v>220972094.06999999</v>
      </c>
      <c r="H59" s="483">
        <v>127356309.09999999</v>
      </c>
      <c r="I59" s="483">
        <v>32946568.489999998</v>
      </c>
      <c r="J59" s="483">
        <v>-1096573.23</v>
      </c>
      <c r="K59" s="483">
        <v>0</v>
      </c>
      <c r="L59" s="483">
        <v>136650876.86000001</v>
      </c>
    </row>
    <row r="60" spans="1:12">
      <c r="A60" s="482">
        <v>6</v>
      </c>
      <c r="B60" s="482" t="s">
        <v>258</v>
      </c>
      <c r="C60" s="482" t="s">
        <v>398</v>
      </c>
      <c r="D60" s="483">
        <v>0</v>
      </c>
      <c r="E60" s="483">
        <v>0</v>
      </c>
      <c r="F60" s="483">
        <v>0</v>
      </c>
      <c r="G60" s="483">
        <v>0</v>
      </c>
      <c r="H60" s="483">
        <v>0</v>
      </c>
      <c r="I60" s="483">
        <v>0</v>
      </c>
      <c r="J60" s="483">
        <v>0</v>
      </c>
      <c r="K60" s="483">
        <v>0</v>
      </c>
      <c r="L60" s="483">
        <v>0</v>
      </c>
    </row>
    <row r="61" spans="1:12">
      <c r="A61" s="482">
        <v>7</v>
      </c>
      <c r="B61" s="482" t="s">
        <v>257</v>
      </c>
      <c r="C61" s="482" t="s">
        <v>398</v>
      </c>
      <c r="D61" s="483">
        <v>8435</v>
      </c>
      <c r="E61" s="483">
        <v>18271617</v>
      </c>
      <c r="F61" s="483">
        <v>-58646351.130000003</v>
      </c>
      <c r="G61" s="483">
        <v>255908052.06999999</v>
      </c>
      <c r="H61" s="483">
        <v>249917725.38</v>
      </c>
      <c r="I61" s="483">
        <v>-387719.03</v>
      </c>
      <c r="J61" s="483">
        <v>-1684654.49</v>
      </c>
      <c r="K61" s="483">
        <v>0</v>
      </c>
      <c r="L61" s="483">
        <v>-53952959.899999999</v>
      </c>
    </row>
    <row r="62" spans="1:12">
      <c r="A62" s="482">
        <v>8</v>
      </c>
      <c r="B62" s="482" t="s">
        <v>256</v>
      </c>
      <c r="C62" s="482" t="s">
        <v>398</v>
      </c>
      <c r="D62" s="483">
        <v>245782</v>
      </c>
      <c r="E62" s="483">
        <v>0</v>
      </c>
      <c r="F62" s="483">
        <v>1072577.24</v>
      </c>
      <c r="G62" s="483">
        <v>311270.32</v>
      </c>
      <c r="H62" s="483">
        <v>330556.15000000002</v>
      </c>
      <c r="I62" s="483">
        <v>0</v>
      </c>
      <c r="J62" s="483">
        <v>0</v>
      </c>
      <c r="K62" s="483">
        <v>0</v>
      </c>
      <c r="L62" s="483">
        <v>1053291.4099999999</v>
      </c>
    </row>
    <row r="63" spans="1:12">
      <c r="A63" s="482">
        <v>9</v>
      </c>
      <c r="B63" s="482" t="s">
        <v>255</v>
      </c>
      <c r="C63" s="482" t="s">
        <v>398</v>
      </c>
      <c r="D63" s="483"/>
      <c r="E63" s="483"/>
      <c r="F63" s="483">
        <v>0</v>
      </c>
      <c r="G63" s="483">
        <v>0</v>
      </c>
      <c r="H63" s="483">
        <v>0</v>
      </c>
      <c r="I63" s="483">
        <v>0</v>
      </c>
      <c r="J63" s="483">
        <v>0</v>
      </c>
      <c r="K63" s="483">
        <v>0</v>
      </c>
      <c r="L63" s="483">
        <v>0</v>
      </c>
    </row>
    <row r="64" spans="1:12">
      <c r="A64" s="482">
        <v>8</v>
      </c>
      <c r="B64" s="482" t="s">
        <v>254</v>
      </c>
      <c r="C64" s="482" t="s">
        <v>398</v>
      </c>
      <c r="D64" s="483">
        <v>469071</v>
      </c>
      <c r="E64" s="483">
        <v>1849974</v>
      </c>
      <c r="F64" s="483">
        <v>1967613795.28</v>
      </c>
      <c r="G64" s="483">
        <v>37735445.469999999</v>
      </c>
      <c r="H64" s="483">
        <v>50289525.710000001</v>
      </c>
      <c r="I64" s="483">
        <v>18852956.059999999</v>
      </c>
      <c r="J64" s="483">
        <v>3260808.1</v>
      </c>
      <c r="K64" s="483">
        <v>0</v>
      </c>
      <c r="L64" s="483">
        <v>1939467567.0799999</v>
      </c>
    </row>
    <row r="65" spans="1:12">
      <c r="A65" s="482">
        <v>9</v>
      </c>
      <c r="B65" s="482" t="s">
        <v>253</v>
      </c>
      <c r="C65" s="482" t="s">
        <v>398</v>
      </c>
      <c r="D65" s="483">
        <v>4232</v>
      </c>
      <c r="E65" s="483">
        <v>0</v>
      </c>
      <c r="F65" s="483">
        <v>1266600.67</v>
      </c>
      <c r="G65" s="483">
        <v>2869498.1</v>
      </c>
      <c r="H65" s="483">
        <v>1263598.73</v>
      </c>
      <c r="I65" s="483">
        <v>914978.4</v>
      </c>
      <c r="J65" s="483">
        <v>-83541.919999999998</v>
      </c>
      <c r="K65" s="483">
        <v>0</v>
      </c>
      <c r="L65" s="483">
        <v>1873979.72</v>
      </c>
    </row>
    <row r="66" spans="1:12">
      <c r="A66" s="482">
        <v>10</v>
      </c>
      <c r="B66" s="482" t="s">
        <v>252</v>
      </c>
      <c r="C66" s="482" t="s">
        <v>398</v>
      </c>
      <c r="D66" s="483">
        <v>13929</v>
      </c>
      <c r="E66" s="483">
        <v>3205448</v>
      </c>
      <c r="F66" s="483">
        <v>387082549.26999998</v>
      </c>
      <c r="G66" s="483">
        <v>43889696.969999999</v>
      </c>
      <c r="H66" s="483">
        <v>19594891.23</v>
      </c>
      <c r="I66" s="483">
        <v>-487043.81</v>
      </c>
      <c r="J66" s="483">
        <v>0</v>
      </c>
      <c r="K66" s="483">
        <v>0</v>
      </c>
      <c r="L66" s="483">
        <v>411280348.13</v>
      </c>
    </row>
    <row r="67" spans="1:12">
      <c r="A67" s="482">
        <v>11</v>
      </c>
      <c r="B67" s="482" t="s">
        <v>251</v>
      </c>
      <c r="C67" s="482" t="s">
        <v>398</v>
      </c>
      <c r="D67" s="483">
        <v>0</v>
      </c>
      <c r="E67" s="483">
        <v>0</v>
      </c>
      <c r="F67" s="483">
        <v>-650</v>
      </c>
      <c r="G67" s="483">
        <v>0</v>
      </c>
      <c r="H67" s="483">
        <v>70582553.900000006</v>
      </c>
      <c r="I67" s="483">
        <v>-70582553.900000006</v>
      </c>
      <c r="J67" s="483">
        <v>0</v>
      </c>
      <c r="K67" s="483">
        <v>0</v>
      </c>
      <c r="L67" s="483">
        <v>-650</v>
      </c>
    </row>
    <row r="68" spans="1:12">
      <c r="A68" s="482">
        <v>14</v>
      </c>
      <c r="B68" s="482" t="s">
        <v>283</v>
      </c>
      <c r="C68" s="482" t="s">
        <v>398</v>
      </c>
      <c r="D68" s="483">
        <v>3788857</v>
      </c>
      <c r="E68" s="483">
        <v>3226627212</v>
      </c>
      <c r="F68" s="483">
        <v>-2966205622.73</v>
      </c>
      <c r="G68" s="483">
        <v>24222892645.16</v>
      </c>
      <c r="H68" s="483">
        <v>22357290545.200001</v>
      </c>
      <c r="I68" s="483">
        <v>818257539.48000002</v>
      </c>
      <c r="J68" s="483">
        <v>-3177266.18</v>
      </c>
      <c r="K68" s="483">
        <v>0</v>
      </c>
      <c r="L68" s="483">
        <v>-1922038328.4300001</v>
      </c>
    </row>
    <row r="69" spans="1:12">
      <c r="A69" s="482">
        <v>13</v>
      </c>
      <c r="B69" s="482" t="s">
        <v>249</v>
      </c>
      <c r="C69" s="482" t="s">
        <v>398</v>
      </c>
      <c r="D69" s="483">
        <v>473303</v>
      </c>
      <c r="E69" s="483">
        <v>1849974</v>
      </c>
      <c r="F69" s="483">
        <v>1968880395.95</v>
      </c>
      <c r="G69" s="483">
        <v>40604943.57</v>
      </c>
      <c r="H69" s="483">
        <v>51553124.439999998</v>
      </c>
      <c r="I69" s="483">
        <v>19767934.460000001</v>
      </c>
      <c r="J69" s="483">
        <v>3177266.18</v>
      </c>
      <c r="K69" s="483">
        <v>0</v>
      </c>
      <c r="L69" s="483">
        <v>1941341546.8</v>
      </c>
    </row>
    <row r="70" spans="1:12">
      <c r="A70" s="482">
        <v>14</v>
      </c>
      <c r="B70" s="482" t="s">
        <v>248</v>
      </c>
      <c r="C70" s="482" t="s">
        <v>398</v>
      </c>
      <c r="D70" s="483">
        <v>13929</v>
      </c>
      <c r="E70" s="483">
        <v>3205448</v>
      </c>
      <c r="F70" s="483">
        <v>387082549.26999998</v>
      </c>
      <c r="G70" s="483">
        <v>43889696.969999999</v>
      </c>
      <c r="H70" s="483">
        <v>19594891.23</v>
      </c>
      <c r="I70" s="483">
        <v>-487043.81</v>
      </c>
      <c r="J70" s="483">
        <v>0</v>
      </c>
      <c r="K70" s="483">
        <v>0</v>
      </c>
      <c r="L70" s="483">
        <v>411280348.13</v>
      </c>
    </row>
    <row r="71" spans="1:12">
      <c r="A71" s="482">
        <v>15</v>
      </c>
      <c r="B71" s="482" t="s">
        <v>247</v>
      </c>
      <c r="C71" s="482" t="s">
        <v>398</v>
      </c>
      <c r="D71" s="483">
        <v>4276089</v>
      </c>
      <c r="E71" s="483">
        <v>3231682634</v>
      </c>
      <c r="F71" s="483">
        <v>-610242677.50999999</v>
      </c>
      <c r="G71" s="483">
        <v>24307387285.700001</v>
      </c>
      <c r="H71" s="483">
        <v>22428438560.869999</v>
      </c>
      <c r="I71" s="483">
        <v>837538430.13</v>
      </c>
      <c r="J71" s="483">
        <v>0</v>
      </c>
      <c r="K71" s="483">
        <v>0</v>
      </c>
      <c r="L71" s="483">
        <v>430583566.5</v>
      </c>
    </row>
    <row r="72" spans="1:12" ht="28.5" customHeight="1">
      <c r="A72" s="500" t="s">
        <v>246</v>
      </c>
      <c r="B72" s="500"/>
      <c r="C72" s="500"/>
      <c r="D72" s="500"/>
      <c r="E72" s="500"/>
      <c r="F72" s="500"/>
      <c r="G72" s="500"/>
      <c r="H72" s="500"/>
      <c r="I72" s="500"/>
      <c r="J72" s="500"/>
      <c r="K72" s="500"/>
      <c r="L72" s="500"/>
    </row>
    <row r="73" spans="1:12" ht="15" customHeight="1">
      <c r="A73" s="502" t="s">
        <v>401</v>
      </c>
      <c r="B73" s="502"/>
      <c r="C73" s="502"/>
      <c r="D73" s="502"/>
      <c r="E73" s="502"/>
      <c r="F73" s="502"/>
      <c r="G73" s="502"/>
      <c r="H73" s="502"/>
      <c r="I73" s="502"/>
      <c r="J73" s="502"/>
      <c r="K73" s="502"/>
      <c r="L73" s="502"/>
    </row>
    <row r="74" spans="1:12" ht="28.5" customHeight="1">
      <c r="A74" s="500" t="s">
        <v>246</v>
      </c>
      <c r="B74" s="500"/>
      <c r="C74" s="500"/>
      <c r="D74" s="500"/>
      <c r="E74" s="500"/>
      <c r="F74" s="500"/>
      <c r="G74" s="500"/>
      <c r="H74" s="500"/>
      <c r="I74" s="500"/>
      <c r="J74" s="500"/>
      <c r="K74" s="500"/>
      <c r="L74" s="500"/>
    </row>
    <row r="75" spans="1:12">
      <c r="A75" s="498" t="s">
        <v>282</v>
      </c>
      <c r="B75" s="498" t="s">
        <v>281</v>
      </c>
      <c r="C75" s="499" t="s">
        <v>251</v>
      </c>
      <c r="D75" s="499" t="s">
        <v>280</v>
      </c>
      <c r="E75" s="499" t="s">
        <v>279</v>
      </c>
      <c r="F75" s="499" t="s">
        <v>278</v>
      </c>
      <c r="G75" s="499" t="s">
        <v>277</v>
      </c>
      <c r="H75" s="499" t="s">
        <v>276</v>
      </c>
      <c r="I75" s="499" t="s">
        <v>275</v>
      </c>
      <c r="J75" s="499" t="s">
        <v>274</v>
      </c>
      <c r="K75" s="499" t="s">
        <v>273</v>
      </c>
      <c r="L75" s="483" t="s">
        <v>402</v>
      </c>
    </row>
    <row r="76" spans="1:12" ht="24">
      <c r="A76" s="482" t="s">
        <v>398</v>
      </c>
      <c r="B76" s="482" t="s">
        <v>398</v>
      </c>
      <c r="C76" s="499" t="s">
        <v>272</v>
      </c>
      <c r="D76" s="499" t="s">
        <v>271</v>
      </c>
      <c r="E76" s="499" t="s">
        <v>270</v>
      </c>
      <c r="F76" s="499" t="s">
        <v>269</v>
      </c>
      <c r="G76" s="499" t="s">
        <v>268</v>
      </c>
      <c r="H76" s="499" t="s">
        <v>267</v>
      </c>
      <c r="I76" s="499" t="s">
        <v>266</v>
      </c>
      <c r="J76" s="499" t="s">
        <v>265</v>
      </c>
      <c r="K76" s="499" t="s">
        <v>264</v>
      </c>
      <c r="L76" s="499" t="s">
        <v>403</v>
      </c>
    </row>
    <row r="77" spans="1:12" ht="28.5" customHeight="1">
      <c r="A77" s="500" t="s">
        <v>246</v>
      </c>
      <c r="B77" s="500"/>
      <c r="C77" s="500"/>
      <c r="D77" s="500"/>
      <c r="E77" s="500"/>
      <c r="F77" s="500"/>
      <c r="G77" s="500"/>
      <c r="H77" s="500"/>
      <c r="I77" s="500"/>
      <c r="J77" s="500"/>
      <c r="K77" s="500"/>
      <c r="L77" s="500"/>
    </row>
    <row r="78" spans="1:12">
      <c r="A78" s="482">
        <v>1</v>
      </c>
      <c r="B78" s="482" t="s">
        <v>263</v>
      </c>
      <c r="C78" s="483">
        <v>10206050.560000001</v>
      </c>
      <c r="D78" s="483">
        <v>111515809.06</v>
      </c>
      <c r="E78" s="483">
        <v>26027922.59</v>
      </c>
      <c r="F78" s="483">
        <v>-1400</v>
      </c>
      <c r="G78" s="483">
        <v>20359293.539999999</v>
      </c>
      <c r="H78" s="483">
        <v>0</v>
      </c>
      <c r="I78" s="483">
        <v>0</v>
      </c>
      <c r="J78" s="483">
        <v>0</v>
      </c>
      <c r="K78" s="483">
        <v>32777455.59</v>
      </c>
      <c r="L78" s="483">
        <v>0</v>
      </c>
    </row>
    <row r="79" spans="1:12">
      <c r="A79" s="482">
        <v>2</v>
      </c>
      <c r="B79" s="482" t="s">
        <v>262</v>
      </c>
      <c r="C79" s="483">
        <v>210743</v>
      </c>
      <c r="D79" s="483">
        <v>832518.69</v>
      </c>
      <c r="E79" s="483">
        <v>4730118.91</v>
      </c>
      <c r="F79" s="483">
        <v>0</v>
      </c>
      <c r="G79" s="483">
        <v>1828091.65</v>
      </c>
      <c r="H79" s="483">
        <v>10568547.199999999</v>
      </c>
      <c r="I79" s="483">
        <v>94.34</v>
      </c>
      <c r="J79" s="483">
        <v>3547668.78</v>
      </c>
      <c r="K79" s="483">
        <v>526258.84</v>
      </c>
      <c r="L79" s="483">
        <v>0</v>
      </c>
    </row>
    <row r="80" spans="1:12" ht="24">
      <c r="A80" s="482">
        <v>3</v>
      </c>
      <c r="B80" s="482" t="s">
        <v>261</v>
      </c>
      <c r="C80" s="483">
        <v>58985054.439999998</v>
      </c>
      <c r="D80" s="483">
        <v>73563668.040000007</v>
      </c>
      <c r="E80" s="483">
        <v>187450473.47999999</v>
      </c>
      <c r="F80" s="483">
        <v>-1</v>
      </c>
      <c r="G80" s="483">
        <v>41230655.020000003</v>
      </c>
      <c r="H80" s="483">
        <v>271074.55</v>
      </c>
      <c r="I80" s="483">
        <v>39739.49</v>
      </c>
      <c r="J80" s="483">
        <v>0</v>
      </c>
      <c r="K80" s="483">
        <v>1298007.01</v>
      </c>
      <c r="L80" s="483">
        <v>0</v>
      </c>
    </row>
    <row r="81" spans="1:12">
      <c r="A81" s="482">
        <v>4</v>
      </c>
      <c r="B81" s="482" t="s">
        <v>260</v>
      </c>
      <c r="C81" s="483">
        <v>215871</v>
      </c>
      <c r="D81" s="483">
        <v>19279380.899999999</v>
      </c>
      <c r="E81" s="483">
        <v>3608367.31</v>
      </c>
      <c r="F81" s="483">
        <v>0</v>
      </c>
      <c r="G81" s="483">
        <v>3647471.32</v>
      </c>
      <c r="H81" s="483">
        <v>243549642.62</v>
      </c>
      <c r="I81" s="483">
        <v>0</v>
      </c>
      <c r="J81" s="483">
        <v>0</v>
      </c>
      <c r="K81" s="483">
        <v>12666.99</v>
      </c>
      <c r="L81" s="483">
        <v>0</v>
      </c>
    </row>
    <row r="82" spans="1:12">
      <c r="A82" s="482">
        <v>5</v>
      </c>
      <c r="B82" s="482" t="s">
        <v>259</v>
      </c>
      <c r="C82" s="483">
        <v>70193.88</v>
      </c>
      <c r="D82" s="483">
        <v>10776100.49</v>
      </c>
      <c r="E82" s="483">
        <v>19230835.469999999</v>
      </c>
      <c r="F82" s="483">
        <v>0</v>
      </c>
      <c r="G82" s="483">
        <v>2869438.65</v>
      </c>
      <c r="H82" s="483">
        <v>0</v>
      </c>
      <c r="I82" s="483">
        <v>0</v>
      </c>
      <c r="J82" s="483">
        <v>0</v>
      </c>
      <c r="K82" s="483">
        <v>0</v>
      </c>
      <c r="L82" s="483">
        <v>0</v>
      </c>
    </row>
    <row r="83" spans="1:12">
      <c r="A83" s="482">
        <v>6</v>
      </c>
      <c r="B83" s="482" t="s">
        <v>258</v>
      </c>
      <c r="C83" s="483">
        <v>0</v>
      </c>
      <c r="D83" s="483">
        <v>0</v>
      </c>
      <c r="E83" s="483">
        <v>0</v>
      </c>
      <c r="F83" s="483">
        <v>0</v>
      </c>
      <c r="G83" s="483">
        <v>0</v>
      </c>
      <c r="H83" s="483">
        <v>0</v>
      </c>
      <c r="I83" s="483">
        <v>0</v>
      </c>
      <c r="J83" s="483">
        <v>0</v>
      </c>
      <c r="K83" s="483">
        <v>0</v>
      </c>
      <c r="L83" s="483">
        <v>0</v>
      </c>
    </row>
    <row r="84" spans="1:12">
      <c r="A84" s="482">
        <v>7</v>
      </c>
      <c r="B84" s="482" t="s">
        <v>257</v>
      </c>
      <c r="C84" s="483">
        <v>996137.77</v>
      </c>
      <c r="D84" s="483">
        <v>317462.21000000002</v>
      </c>
      <c r="E84" s="483">
        <v>-2102528.21</v>
      </c>
      <c r="F84" s="483">
        <v>0</v>
      </c>
      <c r="G84" s="483">
        <v>401209.2</v>
      </c>
      <c r="H84" s="483">
        <v>0</v>
      </c>
      <c r="I84" s="483">
        <v>0</v>
      </c>
      <c r="J84" s="483">
        <v>0</v>
      </c>
      <c r="K84" s="483">
        <v>0</v>
      </c>
      <c r="L84" s="483">
        <v>0</v>
      </c>
    </row>
    <row r="85" spans="1:12">
      <c r="A85" s="482">
        <v>8</v>
      </c>
      <c r="B85" s="482" t="s">
        <v>256</v>
      </c>
      <c r="C85" s="483">
        <v>0</v>
      </c>
      <c r="D85" s="483">
        <v>0</v>
      </c>
      <c r="E85" s="483">
        <v>0</v>
      </c>
      <c r="F85" s="483">
        <v>0</v>
      </c>
      <c r="G85" s="483">
        <v>0</v>
      </c>
      <c r="H85" s="483">
        <v>0</v>
      </c>
      <c r="I85" s="483">
        <v>0</v>
      </c>
      <c r="J85" s="483">
        <v>0</v>
      </c>
      <c r="K85" s="483">
        <v>0</v>
      </c>
      <c r="L85" s="483">
        <v>0</v>
      </c>
    </row>
    <row r="86" spans="1:12">
      <c r="A86" s="482">
        <v>9</v>
      </c>
      <c r="B86" s="482" t="s">
        <v>255</v>
      </c>
      <c r="C86" s="483">
        <v>0</v>
      </c>
      <c r="D86" s="483">
        <v>0</v>
      </c>
      <c r="E86" s="483">
        <v>0</v>
      </c>
      <c r="F86" s="483">
        <v>0</v>
      </c>
      <c r="G86" s="483">
        <v>0</v>
      </c>
      <c r="H86" s="483">
        <v>0</v>
      </c>
      <c r="I86" s="483">
        <v>0</v>
      </c>
      <c r="J86" s="483">
        <v>0</v>
      </c>
      <c r="K86" s="483">
        <v>0</v>
      </c>
      <c r="L86" s="483">
        <v>0</v>
      </c>
    </row>
    <row r="87" spans="1:12">
      <c r="A87" s="482">
        <v>8</v>
      </c>
      <c r="B87" s="482" t="s">
        <v>254</v>
      </c>
      <c r="C87" s="483">
        <v>69186</v>
      </c>
      <c r="D87" s="483">
        <v>7549271.0899999999</v>
      </c>
      <c r="E87" s="483">
        <v>11226574.35</v>
      </c>
      <c r="F87" s="483">
        <v>0</v>
      </c>
      <c r="G87" s="483">
        <v>0</v>
      </c>
      <c r="H87" s="483">
        <v>0</v>
      </c>
      <c r="I87" s="483">
        <v>0</v>
      </c>
      <c r="J87" s="483">
        <v>8548.7000000000007</v>
      </c>
      <c r="K87" s="483">
        <v>-624.08000000000004</v>
      </c>
      <c r="L87" s="483">
        <v>0</v>
      </c>
    </row>
    <row r="88" spans="1:12">
      <c r="A88" s="482">
        <v>9</v>
      </c>
      <c r="B88" s="482" t="s">
        <v>253</v>
      </c>
      <c r="C88" s="483">
        <v>305.02</v>
      </c>
      <c r="D88" s="483">
        <v>248.61</v>
      </c>
      <c r="E88" s="483">
        <v>914424.77</v>
      </c>
      <c r="F88" s="483">
        <v>0</v>
      </c>
      <c r="G88" s="483">
        <v>0</v>
      </c>
      <c r="H88" s="483">
        <v>0</v>
      </c>
      <c r="I88" s="483">
        <v>0</v>
      </c>
      <c r="J88" s="483">
        <v>0</v>
      </c>
      <c r="K88" s="483">
        <v>0</v>
      </c>
      <c r="L88" s="483">
        <v>0</v>
      </c>
    </row>
    <row r="89" spans="1:12">
      <c r="A89" s="482">
        <v>10</v>
      </c>
      <c r="B89" s="482" t="s">
        <v>252</v>
      </c>
      <c r="C89" s="483" t="s">
        <v>398</v>
      </c>
      <c r="D89" s="483">
        <v>-11688.61</v>
      </c>
      <c r="E89" s="483">
        <v>-475355.2</v>
      </c>
      <c r="F89" s="483">
        <v>0</v>
      </c>
      <c r="G89" s="483" t="s">
        <v>398</v>
      </c>
      <c r="H89" s="483" t="s">
        <v>398</v>
      </c>
      <c r="I89" s="483" t="s">
        <v>398</v>
      </c>
      <c r="J89" s="483" t="s">
        <v>398</v>
      </c>
      <c r="K89" s="483">
        <v>0</v>
      </c>
      <c r="L89" s="483">
        <v>0</v>
      </c>
    </row>
    <row r="90" spans="1:12">
      <c r="A90" s="482">
        <v>11</v>
      </c>
      <c r="B90" s="482" t="s">
        <v>251</v>
      </c>
      <c r="C90" s="483">
        <v>-70582553.900000006</v>
      </c>
      <c r="D90" s="483">
        <v>0</v>
      </c>
      <c r="E90" s="483">
        <v>0</v>
      </c>
      <c r="F90" s="483">
        <v>0</v>
      </c>
      <c r="G90" s="483">
        <v>0</v>
      </c>
      <c r="H90" s="483">
        <v>0</v>
      </c>
      <c r="I90" s="483">
        <v>0</v>
      </c>
      <c r="J90" s="483">
        <v>0</v>
      </c>
      <c r="K90" s="483">
        <v>0</v>
      </c>
      <c r="L90" s="483">
        <v>0</v>
      </c>
    </row>
    <row r="91" spans="1:12">
      <c r="A91" s="482">
        <v>14</v>
      </c>
      <c r="B91" s="482" t="s">
        <v>250</v>
      </c>
      <c r="C91" s="483">
        <v>0</v>
      </c>
      <c r="D91" s="483">
        <v>216284939.38999999</v>
      </c>
      <c r="E91" s="483">
        <v>238945189.55000001</v>
      </c>
      <c r="F91" s="483">
        <v>-1401</v>
      </c>
      <c r="G91" s="483">
        <v>70336159.379999995</v>
      </c>
      <c r="H91" s="483">
        <v>254389264.37</v>
      </c>
      <c r="I91" s="483">
        <v>0</v>
      </c>
      <c r="J91" s="483">
        <v>3547668.78</v>
      </c>
      <c r="K91" s="483">
        <v>0</v>
      </c>
      <c r="L91" s="483">
        <v>0</v>
      </c>
    </row>
    <row r="92" spans="1:12">
      <c r="A92" s="482">
        <v>13</v>
      </c>
      <c r="B92" s="482" t="s">
        <v>249</v>
      </c>
      <c r="C92" s="483">
        <v>0</v>
      </c>
      <c r="D92" s="483">
        <v>7549519.7000000002</v>
      </c>
      <c r="E92" s="483">
        <v>12140999.119999999</v>
      </c>
      <c r="F92" s="483">
        <v>0</v>
      </c>
      <c r="G92" s="483">
        <v>0</v>
      </c>
      <c r="H92" s="483">
        <v>0</v>
      </c>
      <c r="I92" s="483">
        <v>0</v>
      </c>
      <c r="J92" s="483">
        <v>8548.7000000000007</v>
      </c>
      <c r="K92" s="483">
        <v>-624.08000000000004</v>
      </c>
      <c r="L92" s="483">
        <v>0</v>
      </c>
    </row>
    <row r="93" spans="1:12">
      <c r="A93" s="482">
        <v>14</v>
      </c>
      <c r="B93" s="482" t="s">
        <v>248</v>
      </c>
      <c r="C93" s="483">
        <v>0</v>
      </c>
      <c r="D93" s="483">
        <v>-11688.61</v>
      </c>
      <c r="E93" s="483">
        <v>-475355.2</v>
      </c>
      <c r="F93" s="483">
        <v>0</v>
      </c>
      <c r="G93" s="483">
        <v>0</v>
      </c>
      <c r="H93" s="483">
        <v>0</v>
      </c>
      <c r="I93" s="483">
        <v>0</v>
      </c>
      <c r="J93" s="483">
        <v>0</v>
      </c>
      <c r="K93" s="483">
        <v>0</v>
      </c>
      <c r="L93" s="483">
        <v>0</v>
      </c>
    </row>
    <row r="94" spans="1:12">
      <c r="A94" s="482">
        <v>15</v>
      </c>
      <c r="B94" s="482" t="s">
        <v>247</v>
      </c>
      <c r="C94" s="483">
        <v>0</v>
      </c>
      <c r="D94" s="483">
        <v>223822770.47999999</v>
      </c>
      <c r="E94" s="483">
        <v>250610833.47</v>
      </c>
      <c r="F94" s="483">
        <v>-1401</v>
      </c>
      <c r="G94" s="483">
        <v>70336159.379999995</v>
      </c>
      <c r="H94" s="483">
        <v>254389264.37</v>
      </c>
      <c r="I94" s="483">
        <v>39833.83</v>
      </c>
      <c r="J94" s="483">
        <v>3556217.48</v>
      </c>
      <c r="K94" s="483">
        <v>-624.08000000000004</v>
      </c>
      <c r="L94" s="483">
        <v>0</v>
      </c>
    </row>
    <row r="95" spans="1:12" ht="28.5" customHeight="1">
      <c r="A95" s="500" t="s">
        <v>246</v>
      </c>
      <c r="B95" s="500"/>
      <c r="C95" s="500"/>
      <c r="D95" s="500"/>
      <c r="E95" s="500"/>
      <c r="F95" s="500"/>
      <c r="G95" s="500"/>
      <c r="H95" s="500"/>
      <c r="I95" s="500"/>
      <c r="J95" s="500"/>
      <c r="K95" s="500"/>
      <c r="L95" s="500"/>
    </row>
  </sheetData>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109"/>
  <sheetViews>
    <sheetView topLeftCell="C57" workbookViewId="0">
      <selection activeCell="P9" sqref="P9"/>
    </sheetView>
  </sheetViews>
  <sheetFormatPr baseColWidth="10" defaultColWidth="9.1640625" defaultRowHeight="15"/>
  <cols>
    <col min="1" max="1" width="9.33203125" style="467" bestFit="1" customWidth="1"/>
    <col min="2" max="2" width="22.1640625" style="467" customWidth="1"/>
    <col min="3" max="3" width="24.33203125" style="467" bestFit="1" customWidth="1"/>
    <col min="4" max="4" width="13.6640625" style="467" bestFit="1" customWidth="1"/>
    <col min="5" max="8" width="12.5" style="467" bestFit="1" customWidth="1"/>
    <col min="9" max="9" width="12" style="467" bestFit="1" customWidth="1"/>
    <col min="10" max="11" width="13.6640625" style="467" bestFit="1" customWidth="1"/>
    <col min="12" max="12" width="12" style="467" bestFit="1" customWidth="1"/>
    <col min="13" max="14" width="9.1640625" style="467"/>
    <col min="15" max="15" width="18" style="467" bestFit="1" customWidth="1"/>
    <col min="16" max="16" width="11" style="467" bestFit="1" customWidth="1"/>
    <col min="17" max="17" width="11.6640625" style="467" bestFit="1" customWidth="1"/>
    <col min="18" max="18" width="18" style="467" bestFit="1" customWidth="1"/>
    <col min="19" max="16384" width="9.1640625" style="467"/>
  </cols>
  <sheetData>
    <row r="1" spans="1:13">
      <c r="A1" s="652"/>
      <c r="B1" s="652"/>
      <c r="C1" s="652"/>
      <c r="D1" s="652"/>
      <c r="E1" s="652"/>
      <c r="F1"/>
      <c r="G1"/>
      <c r="H1"/>
      <c r="I1"/>
      <c r="J1"/>
      <c r="K1"/>
      <c r="L1"/>
      <c r="M1"/>
    </row>
    <row r="2" spans="1:13" ht="15" customHeight="1">
      <c r="A2" s="648" t="s">
        <v>311</v>
      </c>
      <c r="B2" s="648"/>
      <c r="C2" s="648"/>
      <c r="D2" s="648"/>
      <c r="E2" s="648"/>
      <c r="F2" s="648"/>
      <c r="G2" s="648"/>
      <c r="H2" s="648"/>
      <c r="I2" s="648"/>
      <c r="J2" s="648"/>
      <c r="K2" s="648"/>
      <c r="L2"/>
      <c r="M2"/>
    </row>
    <row r="3" spans="1:13">
      <c r="A3"/>
      <c r="B3"/>
      <c r="C3"/>
      <c r="D3"/>
      <c r="E3"/>
      <c r="F3"/>
      <c r="G3"/>
      <c r="H3"/>
      <c r="I3"/>
      <c r="J3"/>
      <c r="K3"/>
      <c r="L3"/>
      <c r="M3"/>
    </row>
    <row r="4" spans="1:13" ht="15" customHeight="1">
      <c r="A4" s="648" t="s">
        <v>404</v>
      </c>
      <c r="B4" s="648"/>
      <c r="C4" s="648"/>
      <c r="D4" s="648"/>
      <c r="E4" s="648"/>
      <c r="F4" s="648"/>
      <c r="G4" s="648"/>
      <c r="H4" s="648"/>
      <c r="I4" s="648"/>
      <c r="J4" s="648"/>
      <c r="K4" s="648"/>
      <c r="L4"/>
      <c r="M4"/>
    </row>
    <row r="5" spans="1:13" ht="15" customHeight="1">
      <c r="A5" s="649" t="s">
        <v>405</v>
      </c>
      <c r="B5" s="649"/>
      <c r="C5" s="649"/>
      <c r="D5" s="649"/>
      <c r="E5" s="649" t="s">
        <v>406</v>
      </c>
      <c r="F5" s="649"/>
      <c r="G5" s="649"/>
      <c r="H5" s="649"/>
      <c r="I5" s="650" t="s">
        <v>407</v>
      </c>
      <c r="J5" s="650"/>
      <c r="K5" s="650"/>
      <c r="L5"/>
      <c r="M5"/>
    </row>
    <row r="6" spans="1:13" ht="15" customHeight="1">
      <c r="A6" s="649" t="s">
        <v>373</v>
      </c>
      <c r="B6" s="649"/>
      <c r="C6" s="649"/>
      <c r="D6" s="649"/>
      <c r="E6" s="649" t="s">
        <v>374</v>
      </c>
      <c r="F6" s="649"/>
      <c r="G6" s="649"/>
      <c r="H6" s="649"/>
      <c r="I6" s="649"/>
      <c r="J6" s="650" t="s">
        <v>375</v>
      </c>
      <c r="K6" s="650"/>
      <c r="L6" s="650"/>
      <c r="M6"/>
    </row>
    <row r="7" spans="1:13" ht="27" customHeight="1">
      <c r="A7" s="647" t="s">
        <v>312</v>
      </c>
      <c r="B7" s="647"/>
      <c r="C7" s="647"/>
      <c r="D7" s="647"/>
      <c r="E7" s="647"/>
      <c r="F7" s="647"/>
      <c r="G7" s="647"/>
      <c r="H7" s="647"/>
      <c r="I7" s="647"/>
      <c r="J7" s="647"/>
      <c r="K7" s="647"/>
      <c r="L7"/>
      <c r="M7"/>
    </row>
    <row r="8" spans="1:13" ht="27" customHeight="1">
      <c r="A8" s="485" t="s">
        <v>342</v>
      </c>
      <c r="B8" s="485" t="s">
        <v>328</v>
      </c>
      <c r="C8" s="486" t="s">
        <v>341</v>
      </c>
      <c r="D8" s="486" t="s">
        <v>340</v>
      </c>
      <c r="E8" s="486" t="s">
        <v>339</v>
      </c>
      <c r="F8" s="486" t="s">
        <v>377</v>
      </c>
      <c r="G8" s="486" t="s">
        <v>338</v>
      </c>
      <c r="H8" s="486" t="s">
        <v>337</v>
      </c>
      <c r="I8" s="486" t="s">
        <v>336</v>
      </c>
      <c r="J8" s="486" t="s">
        <v>335</v>
      </c>
      <c r="K8" s="486" t="s">
        <v>334</v>
      </c>
      <c r="L8" s="486"/>
      <c r="M8" s="476"/>
    </row>
    <row r="9" spans="1:13" ht="30">
      <c r="A9" s="486"/>
      <c r="B9" s="486"/>
      <c r="C9" s="486" t="s">
        <v>333</v>
      </c>
      <c r="D9" s="486" t="s">
        <v>332</v>
      </c>
      <c r="E9" s="486"/>
      <c r="F9" s="486"/>
      <c r="G9" s="486"/>
      <c r="H9" s="486" t="s">
        <v>331</v>
      </c>
      <c r="I9" s="486"/>
      <c r="J9" s="486"/>
      <c r="K9" s="486"/>
      <c r="L9"/>
      <c r="M9"/>
    </row>
    <row r="10" spans="1:13" ht="27" customHeight="1">
      <c r="A10" s="647" t="s">
        <v>312</v>
      </c>
      <c r="B10" s="647"/>
      <c r="C10" s="647"/>
      <c r="D10" s="647"/>
      <c r="E10" s="647"/>
      <c r="F10" s="647"/>
      <c r="G10" s="647"/>
      <c r="H10" s="647"/>
      <c r="I10" s="647"/>
      <c r="J10" s="647"/>
      <c r="K10" s="647"/>
      <c r="L10"/>
      <c r="M10"/>
    </row>
    <row r="11" spans="1:13" ht="27" customHeight="1">
      <c r="A11" s="485">
        <v>1</v>
      </c>
      <c r="B11" s="487" t="s">
        <v>322</v>
      </c>
      <c r="C11" s="486">
        <v>5010</v>
      </c>
      <c r="D11" s="486">
        <v>4480439731</v>
      </c>
      <c r="E11" s="486">
        <v>34893869547.540001</v>
      </c>
      <c r="F11" s="486">
        <v>168453954.03</v>
      </c>
      <c r="G11" s="486">
        <v>3624213211.52</v>
      </c>
      <c r="H11" s="486">
        <v>451579014.48000002</v>
      </c>
      <c r="I11" s="486">
        <v>0</v>
      </c>
      <c r="J11" s="486">
        <v>-4698832.55</v>
      </c>
      <c r="K11" s="486">
        <v>-2057924611.1600001</v>
      </c>
      <c r="L11" s="486" t="s">
        <v>398</v>
      </c>
      <c r="M11" s="476"/>
    </row>
    <row r="12" spans="1:13">
      <c r="A12" s="485" t="s">
        <v>398</v>
      </c>
      <c r="B12" s="485" t="s">
        <v>398</v>
      </c>
      <c r="C12" s="486">
        <v>-1317690184.4400001</v>
      </c>
      <c r="D12" s="486">
        <v>38402580133.400002</v>
      </c>
      <c r="E12" s="486" t="s">
        <v>398</v>
      </c>
      <c r="F12" s="486" t="s">
        <v>398</v>
      </c>
      <c r="G12" s="486" t="s">
        <v>398</v>
      </c>
      <c r="H12" s="486" t="s">
        <v>398</v>
      </c>
      <c r="I12" s="486" t="s">
        <v>398</v>
      </c>
      <c r="J12" s="486" t="s">
        <v>398</v>
      </c>
      <c r="K12" s="486" t="s">
        <v>398</v>
      </c>
      <c r="L12"/>
      <c r="M12"/>
    </row>
    <row r="13" spans="1:13">
      <c r="A13" s="485">
        <v>2</v>
      </c>
      <c r="B13" s="487" t="s">
        <v>321</v>
      </c>
      <c r="C13" s="486">
        <v>2</v>
      </c>
      <c r="D13" s="486">
        <v>3177800</v>
      </c>
      <c r="E13" s="486">
        <v>29255073</v>
      </c>
      <c r="F13" s="486">
        <v>0</v>
      </c>
      <c r="G13" s="486">
        <v>0</v>
      </c>
      <c r="H13" s="486">
        <v>18535</v>
      </c>
      <c r="I13" s="486">
        <v>0</v>
      </c>
      <c r="J13" s="486">
        <v>-375506.88</v>
      </c>
      <c r="K13" s="486">
        <v>-8940589.2100000009</v>
      </c>
      <c r="L13" s="486" t="s">
        <v>398</v>
      </c>
      <c r="M13"/>
    </row>
    <row r="14" spans="1:13">
      <c r="A14" s="485" t="s">
        <v>398</v>
      </c>
      <c r="B14" s="485" t="s">
        <v>398</v>
      </c>
      <c r="C14" s="486">
        <v>-4755153.68</v>
      </c>
      <c r="D14" s="486">
        <v>25463679.350000001</v>
      </c>
      <c r="E14" s="486" t="s">
        <v>398</v>
      </c>
      <c r="F14" s="486" t="s">
        <v>398</v>
      </c>
      <c r="G14" s="486" t="s">
        <v>398</v>
      </c>
      <c r="H14" s="486" t="s">
        <v>398</v>
      </c>
      <c r="I14" s="486" t="s">
        <v>398</v>
      </c>
      <c r="J14" s="486" t="s">
        <v>398</v>
      </c>
      <c r="K14" s="486" t="s">
        <v>398</v>
      </c>
      <c r="L14"/>
      <c r="M14"/>
    </row>
    <row r="15" spans="1:13">
      <c r="A15" s="485">
        <v>3</v>
      </c>
      <c r="B15" s="487" t="s">
        <v>320</v>
      </c>
      <c r="C15" s="486">
        <v>17</v>
      </c>
      <c r="D15" s="486">
        <v>9799228</v>
      </c>
      <c r="E15" s="486">
        <v>7834985</v>
      </c>
      <c r="F15" s="486">
        <v>0</v>
      </c>
      <c r="G15" s="486">
        <v>0</v>
      </c>
      <c r="H15" s="486">
        <v>1046795</v>
      </c>
      <c r="I15" s="486">
        <v>0</v>
      </c>
      <c r="J15" s="486">
        <v>0</v>
      </c>
      <c r="K15" s="486">
        <v>808100.32</v>
      </c>
      <c r="L15" s="486" t="s">
        <v>398</v>
      </c>
      <c r="M15"/>
    </row>
    <row r="16" spans="1:13">
      <c r="A16" s="485" t="s">
        <v>398</v>
      </c>
      <c r="B16" s="485" t="s">
        <v>398</v>
      </c>
      <c r="C16" s="486">
        <v>663051.23</v>
      </c>
      <c r="D16" s="486">
        <v>9026829.0899999999</v>
      </c>
      <c r="E16" s="486" t="s">
        <v>398</v>
      </c>
      <c r="F16" s="486" t="s">
        <v>398</v>
      </c>
      <c r="G16" s="486" t="s">
        <v>398</v>
      </c>
      <c r="H16" s="486" t="s">
        <v>398</v>
      </c>
      <c r="I16" s="486" t="s">
        <v>398</v>
      </c>
      <c r="J16" s="486" t="s">
        <v>398</v>
      </c>
      <c r="K16" s="486" t="s">
        <v>398</v>
      </c>
      <c r="L16"/>
      <c r="M16"/>
    </row>
    <row r="17" spans="1:13">
      <c r="A17" s="485">
        <v>4</v>
      </c>
      <c r="B17" s="487" t="s">
        <v>319</v>
      </c>
      <c r="C17" s="486">
        <v>0</v>
      </c>
      <c r="D17" s="486">
        <v>0</v>
      </c>
      <c r="E17" s="486">
        <v>0</v>
      </c>
      <c r="F17" s="486">
        <v>0</v>
      </c>
      <c r="G17" s="486">
        <v>0</v>
      </c>
      <c r="H17" s="486">
        <v>0</v>
      </c>
      <c r="I17" s="486">
        <v>0</v>
      </c>
      <c r="J17" s="486">
        <v>0</v>
      </c>
      <c r="K17" s="486">
        <v>0</v>
      </c>
      <c r="L17" s="486" t="s">
        <v>398</v>
      </c>
      <c r="M17"/>
    </row>
    <row r="18" spans="1:13">
      <c r="A18" s="485" t="s">
        <v>398</v>
      </c>
      <c r="B18" s="485" t="s">
        <v>398</v>
      </c>
      <c r="C18" s="486">
        <v>0</v>
      </c>
      <c r="D18" s="486">
        <v>0</v>
      </c>
      <c r="E18" s="486" t="s">
        <v>398</v>
      </c>
      <c r="F18" s="486" t="s">
        <v>398</v>
      </c>
      <c r="G18" s="486" t="s">
        <v>398</v>
      </c>
      <c r="H18" s="486" t="s">
        <v>398</v>
      </c>
      <c r="I18" s="486" t="s">
        <v>398</v>
      </c>
      <c r="J18" s="486" t="s">
        <v>398</v>
      </c>
      <c r="K18" s="486" t="s">
        <v>398</v>
      </c>
      <c r="L18"/>
      <c r="M18"/>
    </row>
    <row r="19" spans="1:13">
      <c r="A19" s="485">
        <v>5</v>
      </c>
      <c r="B19" s="487" t="s">
        <v>318</v>
      </c>
      <c r="C19" s="486">
        <v>0</v>
      </c>
      <c r="D19" s="486">
        <v>0</v>
      </c>
      <c r="E19" s="486">
        <v>0</v>
      </c>
      <c r="F19" s="486">
        <v>0</v>
      </c>
      <c r="G19" s="486">
        <v>0</v>
      </c>
      <c r="H19" s="486">
        <v>0</v>
      </c>
      <c r="I19" s="486">
        <v>0</v>
      </c>
      <c r="J19" s="486">
        <v>0</v>
      </c>
      <c r="K19" s="486">
        <v>0</v>
      </c>
      <c r="L19" s="486" t="s">
        <v>398</v>
      </c>
      <c r="M19"/>
    </row>
    <row r="20" spans="1:13">
      <c r="A20" s="485" t="s">
        <v>398</v>
      </c>
      <c r="B20" s="485" t="s">
        <v>398</v>
      </c>
      <c r="C20" s="486">
        <v>0</v>
      </c>
      <c r="D20" s="486">
        <v>0</v>
      </c>
      <c r="E20" s="486" t="s">
        <v>398</v>
      </c>
      <c r="F20" s="486" t="s">
        <v>398</v>
      </c>
      <c r="G20" s="486" t="s">
        <v>398</v>
      </c>
      <c r="H20" s="486" t="s">
        <v>398</v>
      </c>
      <c r="I20" s="486" t="s">
        <v>398</v>
      </c>
      <c r="J20" s="486" t="s">
        <v>398</v>
      </c>
      <c r="K20" s="486" t="s">
        <v>398</v>
      </c>
      <c r="L20"/>
      <c r="M20"/>
    </row>
    <row r="21" spans="1:13">
      <c r="A21" s="485">
        <v>6</v>
      </c>
      <c r="B21" s="487" t="s">
        <v>317</v>
      </c>
      <c r="C21" s="486">
        <v>0</v>
      </c>
      <c r="D21" s="486">
        <v>0</v>
      </c>
      <c r="E21" s="486">
        <v>0</v>
      </c>
      <c r="F21" s="486">
        <v>0</v>
      </c>
      <c r="G21" s="486">
        <v>0</v>
      </c>
      <c r="H21" s="486">
        <v>0</v>
      </c>
      <c r="I21" s="486">
        <v>0</v>
      </c>
      <c r="J21" s="486">
        <v>0</v>
      </c>
      <c r="K21" s="486">
        <v>0</v>
      </c>
      <c r="L21" s="486" t="s">
        <v>398</v>
      </c>
      <c r="M21"/>
    </row>
    <row r="22" spans="1:13">
      <c r="A22" s="485" t="s">
        <v>398</v>
      </c>
      <c r="B22" s="485" t="s">
        <v>398</v>
      </c>
      <c r="C22" s="486">
        <v>0</v>
      </c>
      <c r="D22" s="486">
        <v>0</v>
      </c>
      <c r="E22" s="486" t="s">
        <v>398</v>
      </c>
      <c r="F22" s="486" t="s">
        <v>398</v>
      </c>
      <c r="G22" s="486" t="s">
        <v>398</v>
      </c>
      <c r="H22" s="486" t="s">
        <v>398</v>
      </c>
      <c r="I22" s="486" t="s">
        <v>398</v>
      </c>
      <c r="J22" s="486" t="s">
        <v>398</v>
      </c>
      <c r="K22" s="486" t="s">
        <v>398</v>
      </c>
      <c r="L22"/>
      <c r="M22"/>
    </row>
    <row r="23" spans="1:13">
      <c r="A23" s="485">
        <v>7</v>
      </c>
      <c r="B23" s="487" t="s">
        <v>316</v>
      </c>
      <c r="C23" s="486">
        <v>0</v>
      </c>
      <c r="D23" s="486">
        <v>0</v>
      </c>
      <c r="E23" s="486">
        <v>0</v>
      </c>
      <c r="F23" s="486">
        <v>0</v>
      </c>
      <c r="G23" s="486">
        <v>0</v>
      </c>
      <c r="H23" s="486">
        <v>0</v>
      </c>
      <c r="I23" s="486">
        <v>0</v>
      </c>
      <c r="J23" s="486">
        <v>0</v>
      </c>
      <c r="K23" s="486">
        <v>0</v>
      </c>
      <c r="L23" s="486" t="s">
        <v>398</v>
      </c>
      <c r="M23"/>
    </row>
    <row r="24" spans="1:13">
      <c r="A24" s="485" t="s">
        <v>398</v>
      </c>
      <c r="B24" s="485" t="s">
        <v>398</v>
      </c>
      <c r="C24" s="486">
        <v>0</v>
      </c>
      <c r="D24" s="486">
        <v>0</v>
      </c>
      <c r="E24" s="486" t="s">
        <v>398</v>
      </c>
      <c r="F24" s="486" t="s">
        <v>398</v>
      </c>
      <c r="G24" s="486" t="s">
        <v>398</v>
      </c>
      <c r="H24" s="486" t="s">
        <v>398</v>
      </c>
      <c r="I24" s="486" t="s">
        <v>398</v>
      </c>
      <c r="J24" s="486" t="s">
        <v>398</v>
      </c>
      <c r="K24" s="486" t="s">
        <v>398</v>
      </c>
      <c r="L24"/>
      <c r="M24"/>
    </row>
    <row r="25" spans="1:13">
      <c r="A25" s="485">
        <v>8</v>
      </c>
      <c r="B25" s="487" t="s">
        <v>315</v>
      </c>
      <c r="C25" s="486">
        <v>1582</v>
      </c>
      <c r="D25" s="486">
        <v>0</v>
      </c>
      <c r="E25" s="486">
        <v>5163729.58</v>
      </c>
      <c r="F25" s="486">
        <v>0</v>
      </c>
      <c r="G25" s="486">
        <v>3723914.68</v>
      </c>
      <c r="H25" s="486">
        <v>12733329.67</v>
      </c>
      <c r="I25" s="486">
        <v>0</v>
      </c>
      <c r="J25" s="486">
        <v>2830910.89</v>
      </c>
      <c r="K25" s="486">
        <v>61324512752.720001</v>
      </c>
      <c r="L25" s="486" t="s">
        <v>398</v>
      </c>
      <c r="M25"/>
    </row>
    <row r="26" spans="1:13">
      <c r="A26" s="485" t="s">
        <v>398</v>
      </c>
      <c r="B26" s="485" t="s">
        <v>398</v>
      </c>
      <c r="C26" s="486">
        <v>59675859074.260002</v>
      </c>
      <c r="D26" s="486">
        <v>1667443741.5</v>
      </c>
      <c r="E26" s="486" t="s">
        <v>398</v>
      </c>
      <c r="F26" s="486" t="s">
        <v>398</v>
      </c>
      <c r="G26" s="486" t="s">
        <v>398</v>
      </c>
      <c r="H26" s="486" t="s">
        <v>398</v>
      </c>
      <c r="I26" s="486" t="s">
        <v>398</v>
      </c>
      <c r="J26" s="486" t="s">
        <v>398</v>
      </c>
      <c r="K26" s="486" t="s">
        <v>398</v>
      </c>
      <c r="L26"/>
      <c r="M26"/>
    </row>
    <row r="27" spans="1:13">
      <c r="A27" s="485">
        <v>9</v>
      </c>
      <c r="B27" s="487" t="s">
        <v>253</v>
      </c>
      <c r="C27" s="486">
        <v>67</v>
      </c>
      <c r="D27" s="486">
        <v>0</v>
      </c>
      <c r="E27" s="486">
        <v>13583878.039999999</v>
      </c>
      <c r="F27" s="486">
        <v>0</v>
      </c>
      <c r="G27" s="486">
        <v>111180</v>
      </c>
      <c r="H27" s="486">
        <v>2732081</v>
      </c>
      <c r="I27" s="486">
        <v>0</v>
      </c>
      <c r="J27" s="486">
        <v>2243428.54</v>
      </c>
      <c r="K27" s="486">
        <v>9944145.1799999997</v>
      </c>
      <c r="L27" s="486" t="s">
        <v>398</v>
      </c>
      <c r="M27"/>
    </row>
    <row r="28" spans="1:13">
      <c r="A28" s="485" t="s">
        <v>398</v>
      </c>
      <c r="B28" s="485" t="s">
        <v>398</v>
      </c>
      <c r="C28" s="486">
        <v>4811574.91</v>
      </c>
      <c r="D28" s="486">
        <v>19316280.77</v>
      </c>
      <c r="E28" s="486" t="s">
        <v>398</v>
      </c>
      <c r="F28" s="486" t="s">
        <v>398</v>
      </c>
      <c r="G28" s="486" t="s">
        <v>398</v>
      </c>
      <c r="H28" s="486" t="s">
        <v>398</v>
      </c>
      <c r="I28" s="486" t="s">
        <v>398</v>
      </c>
      <c r="J28" s="486" t="s">
        <v>398</v>
      </c>
      <c r="K28" s="486" t="s">
        <v>398</v>
      </c>
      <c r="L28"/>
      <c r="M28"/>
    </row>
    <row r="29" spans="1:13">
      <c r="A29" s="485">
        <v>10</v>
      </c>
      <c r="B29" s="487" t="s">
        <v>314</v>
      </c>
      <c r="C29" s="486">
        <v>55</v>
      </c>
      <c r="D29" s="486">
        <v>10543117</v>
      </c>
      <c r="E29" s="486">
        <v>69274176.5</v>
      </c>
      <c r="F29" s="486">
        <v>0</v>
      </c>
      <c r="G29" s="486">
        <v>615246.44999999995</v>
      </c>
      <c r="H29" s="486">
        <v>3097347</v>
      </c>
      <c r="I29" s="486">
        <v>0</v>
      </c>
      <c r="J29" s="486">
        <v>0</v>
      </c>
      <c r="K29" s="486">
        <v>40332475.18</v>
      </c>
      <c r="L29" s="486" t="s">
        <v>398</v>
      </c>
      <c r="M29"/>
    </row>
    <row r="30" spans="1:13">
      <c r="A30" s="485" t="s">
        <v>398</v>
      </c>
      <c r="B30" s="485" t="s">
        <v>398</v>
      </c>
      <c r="C30" s="486">
        <v>30469491.420000002</v>
      </c>
      <c r="D30" s="486">
        <v>82849753.709999993</v>
      </c>
      <c r="E30" s="486" t="s">
        <v>398</v>
      </c>
      <c r="F30" s="486" t="s">
        <v>398</v>
      </c>
      <c r="G30" s="486" t="s">
        <v>398</v>
      </c>
      <c r="H30" s="486" t="s">
        <v>398</v>
      </c>
      <c r="I30" s="486" t="s">
        <v>398</v>
      </c>
      <c r="J30" s="486" t="s">
        <v>398</v>
      </c>
      <c r="K30" s="486" t="s">
        <v>398</v>
      </c>
      <c r="L30"/>
      <c r="M30"/>
    </row>
    <row r="31" spans="1:13" ht="27" customHeight="1">
      <c r="A31" s="503" t="s">
        <v>312</v>
      </c>
      <c r="B31" s="503"/>
      <c r="C31" s="503"/>
      <c r="D31" s="503"/>
      <c r="E31" s="503"/>
      <c r="F31" s="503"/>
      <c r="G31" s="503"/>
      <c r="H31" s="503"/>
      <c r="I31" s="503"/>
      <c r="J31" s="503"/>
      <c r="K31" s="503"/>
      <c r="L31"/>
      <c r="M31"/>
    </row>
    <row r="32" spans="1:13" ht="27" customHeight="1">
      <c r="A32" s="485" t="s">
        <v>313</v>
      </c>
      <c r="B32" s="485">
        <v>6733</v>
      </c>
      <c r="C32" s="486">
        <v>4503959876</v>
      </c>
      <c r="D32" s="486">
        <v>35018981389.660004</v>
      </c>
      <c r="E32" s="486">
        <v>168453954.03</v>
      </c>
      <c r="F32" s="486">
        <v>3628663552.6500001</v>
      </c>
      <c r="G32" s="486">
        <v>471207102.14999998</v>
      </c>
      <c r="H32" s="486">
        <v>0</v>
      </c>
      <c r="I32" s="486">
        <v>0</v>
      </c>
      <c r="J32" s="486">
        <v>59308732273.029999</v>
      </c>
      <c r="K32" s="486" t="s">
        <v>398</v>
      </c>
      <c r="L32" s="486"/>
      <c r="M32" s="476"/>
    </row>
    <row r="33" spans="1:17" ht="15" customHeight="1">
      <c r="A33" s="485" t="s">
        <v>398</v>
      </c>
      <c r="B33" s="485" t="s">
        <v>398</v>
      </c>
      <c r="C33" s="486">
        <v>58389357853.699997</v>
      </c>
      <c r="D33" s="486">
        <v>40206680417.82</v>
      </c>
      <c r="E33" s="486" t="s">
        <v>398</v>
      </c>
      <c r="F33" s="486" t="s">
        <v>398</v>
      </c>
      <c r="G33" s="486" t="s">
        <v>398</v>
      </c>
      <c r="H33" s="486" t="s">
        <v>398</v>
      </c>
      <c r="I33" s="486" t="s">
        <v>398</v>
      </c>
      <c r="J33" s="486" t="s">
        <v>398</v>
      </c>
      <c r="K33" s="486"/>
      <c r="L33"/>
      <c r="M33"/>
    </row>
    <row r="34" spans="1:17" ht="27" customHeight="1">
      <c r="A34" s="647" t="s">
        <v>312</v>
      </c>
      <c r="B34" s="647"/>
      <c r="C34" s="647"/>
      <c r="D34" s="647"/>
      <c r="E34" s="647"/>
      <c r="F34" s="647"/>
      <c r="G34" s="647"/>
      <c r="H34" s="647"/>
      <c r="I34" s="647"/>
      <c r="J34" s="647"/>
      <c r="K34" s="647"/>
      <c r="L34"/>
      <c r="M34"/>
    </row>
    <row r="35" spans="1:17" ht="27" customHeight="1">
      <c r="A35"/>
      <c r="B35"/>
      <c r="C35"/>
      <c r="D35"/>
      <c r="E35"/>
      <c r="F35"/>
      <c r="G35"/>
      <c r="H35"/>
      <c r="I35"/>
      <c r="J35"/>
      <c r="K35"/>
      <c r="L35"/>
      <c r="M35" s="476"/>
    </row>
    <row r="36" spans="1:17">
      <c r="A36" s="648" t="s">
        <v>330</v>
      </c>
      <c r="B36" s="648"/>
      <c r="C36" s="648"/>
      <c r="D36" s="648"/>
      <c r="E36" s="648"/>
      <c r="F36"/>
      <c r="G36"/>
      <c r="H36"/>
      <c r="I36"/>
      <c r="J36"/>
      <c r="K36"/>
      <c r="L36"/>
      <c r="M36"/>
    </row>
    <row r="37" spans="1:17" ht="15" customHeight="1">
      <c r="A37" s="486"/>
      <c r="B37" s="486"/>
      <c r="C37" s="486"/>
      <c r="D37" s="486"/>
      <c r="E37" s="486"/>
      <c r="F37"/>
      <c r="G37"/>
      <c r="H37"/>
      <c r="I37"/>
      <c r="J37"/>
      <c r="K37"/>
      <c r="L37"/>
      <c r="M37"/>
    </row>
    <row r="38" spans="1:17" ht="27" customHeight="1">
      <c r="A38" s="647" t="s">
        <v>312</v>
      </c>
      <c r="B38" s="647"/>
      <c r="C38" s="647"/>
      <c r="D38" s="647"/>
      <c r="E38" s="647"/>
      <c r="F38" s="647"/>
      <c r="G38" s="647"/>
      <c r="H38" s="647"/>
      <c r="I38" s="647"/>
      <c r="J38" s="647"/>
      <c r="K38"/>
      <c r="L38"/>
      <c r="M38"/>
    </row>
    <row r="39" spans="1:17" ht="27" customHeight="1">
      <c r="A39" s="485" t="s">
        <v>329</v>
      </c>
      <c r="B39" s="485" t="s">
        <v>328</v>
      </c>
      <c r="C39" s="486" t="s">
        <v>201</v>
      </c>
      <c r="D39" s="486" t="s">
        <v>327</v>
      </c>
      <c r="E39" s="486" t="s">
        <v>326</v>
      </c>
      <c r="F39" s="486" t="s">
        <v>306</v>
      </c>
      <c r="G39" s="486" t="s">
        <v>325</v>
      </c>
      <c r="H39" s="486" t="s">
        <v>324</v>
      </c>
      <c r="I39" s="486" t="s">
        <v>323</v>
      </c>
      <c r="J39" s="486" t="s">
        <v>398</v>
      </c>
      <c r="K39"/>
      <c r="L39"/>
      <c r="M39" s="476"/>
    </row>
    <row r="40" spans="1:17" ht="27" customHeight="1">
      <c r="A40" s="503" t="s">
        <v>312</v>
      </c>
      <c r="B40" s="503"/>
      <c r="C40" s="503"/>
      <c r="D40" s="503"/>
      <c r="E40" s="503"/>
      <c r="F40" s="503"/>
      <c r="G40" s="503"/>
      <c r="H40" s="503"/>
      <c r="I40" s="503"/>
      <c r="J40" s="503"/>
      <c r="K40"/>
      <c r="L40"/>
      <c r="M40"/>
      <c r="O40" s="473"/>
      <c r="P40" s="473"/>
      <c r="Q40" s="473"/>
    </row>
    <row r="41" spans="1:17" ht="27" customHeight="1">
      <c r="A41" s="485">
        <v>1</v>
      </c>
      <c r="B41" s="487" t="s">
        <v>322</v>
      </c>
      <c r="C41" s="486">
        <v>3613577779.6799998</v>
      </c>
      <c r="D41" s="486">
        <v>2920964036.46</v>
      </c>
      <c r="E41" s="486">
        <v>681320384.71000004</v>
      </c>
      <c r="F41" s="486">
        <v>0</v>
      </c>
      <c r="G41" s="486">
        <v>0</v>
      </c>
      <c r="H41" s="486">
        <v>11293358.51</v>
      </c>
      <c r="I41" s="486">
        <v>0</v>
      </c>
      <c r="J41" s="486" t="s">
        <v>398</v>
      </c>
      <c r="K41"/>
      <c r="L41"/>
      <c r="M41" s="476"/>
    </row>
    <row r="42" spans="1:17">
      <c r="A42" s="485">
        <v>2</v>
      </c>
      <c r="B42" s="487" t="s">
        <v>321</v>
      </c>
      <c r="C42" s="486">
        <v>0</v>
      </c>
      <c r="D42" s="486">
        <v>0</v>
      </c>
      <c r="E42" s="486">
        <v>0</v>
      </c>
      <c r="F42" s="486">
        <v>0</v>
      </c>
      <c r="G42" s="486">
        <v>0</v>
      </c>
      <c r="H42" s="486">
        <v>0</v>
      </c>
      <c r="I42" s="486">
        <v>0</v>
      </c>
      <c r="J42" s="486" t="s">
        <v>398</v>
      </c>
      <c r="K42"/>
      <c r="L42"/>
      <c r="M42"/>
    </row>
    <row r="43" spans="1:17">
      <c r="A43" s="485">
        <v>3</v>
      </c>
      <c r="B43" s="487" t="s">
        <v>320</v>
      </c>
      <c r="C43" s="486">
        <v>0</v>
      </c>
      <c r="D43" s="486">
        <v>0</v>
      </c>
      <c r="E43" s="486">
        <v>0</v>
      </c>
      <c r="F43" s="486">
        <v>0</v>
      </c>
      <c r="G43" s="486">
        <v>0</v>
      </c>
      <c r="H43" s="486">
        <v>0</v>
      </c>
      <c r="I43" s="486">
        <v>0</v>
      </c>
      <c r="J43" s="486" t="s">
        <v>398</v>
      </c>
      <c r="K43"/>
      <c r="L43"/>
      <c r="M43"/>
    </row>
    <row r="44" spans="1:17">
      <c r="A44" s="485">
        <v>4</v>
      </c>
      <c r="B44" s="487" t="s">
        <v>319</v>
      </c>
      <c r="C44" s="486">
        <v>0</v>
      </c>
      <c r="D44" s="486">
        <v>0</v>
      </c>
      <c r="E44" s="486">
        <v>0</v>
      </c>
      <c r="F44" s="486">
        <v>0</v>
      </c>
      <c r="G44" s="486">
        <v>0</v>
      </c>
      <c r="H44" s="486">
        <v>0</v>
      </c>
      <c r="I44" s="486">
        <v>0</v>
      </c>
      <c r="J44" s="486" t="s">
        <v>398</v>
      </c>
      <c r="K44"/>
      <c r="L44"/>
      <c r="M44"/>
    </row>
    <row r="45" spans="1:17">
      <c r="A45" s="485">
        <v>5</v>
      </c>
      <c r="B45" s="487" t="s">
        <v>318</v>
      </c>
      <c r="C45" s="486">
        <v>0</v>
      </c>
      <c r="D45" s="486">
        <v>0</v>
      </c>
      <c r="E45" s="486">
        <v>0</v>
      </c>
      <c r="F45" s="486">
        <v>0</v>
      </c>
      <c r="G45" s="486">
        <v>0</v>
      </c>
      <c r="H45" s="486">
        <v>0</v>
      </c>
      <c r="I45" s="486">
        <v>0</v>
      </c>
      <c r="J45" s="486" t="s">
        <v>398</v>
      </c>
      <c r="K45"/>
      <c r="L45"/>
      <c r="M45"/>
    </row>
    <row r="46" spans="1:17">
      <c r="A46" s="485">
        <v>6</v>
      </c>
      <c r="B46" s="487" t="s">
        <v>317</v>
      </c>
      <c r="C46" s="486">
        <v>0</v>
      </c>
      <c r="D46" s="486">
        <v>0</v>
      </c>
      <c r="E46" s="486">
        <v>0</v>
      </c>
      <c r="F46" s="486">
        <v>0</v>
      </c>
      <c r="G46" s="486">
        <v>0</v>
      </c>
      <c r="H46" s="486">
        <v>0</v>
      </c>
      <c r="I46" s="486">
        <v>0</v>
      </c>
      <c r="J46" s="486" t="s">
        <v>398</v>
      </c>
      <c r="K46"/>
      <c r="L46"/>
      <c r="M46"/>
    </row>
    <row r="47" spans="1:17">
      <c r="A47" s="485">
        <v>7</v>
      </c>
      <c r="B47" s="487" t="s">
        <v>316</v>
      </c>
      <c r="C47" s="486">
        <v>0</v>
      </c>
      <c r="D47" s="486">
        <v>0</v>
      </c>
      <c r="E47" s="486">
        <v>0</v>
      </c>
      <c r="F47" s="486">
        <v>0</v>
      </c>
      <c r="G47" s="486">
        <v>0</v>
      </c>
      <c r="H47" s="486">
        <v>0</v>
      </c>
      <c r="I47" s="486">
        <v>0</v>
      </c>
      <c r="J47" s="486" t="s">
        <v>398</v>
      </c>
      <c r="K47"/>
      <c r="L47"/>
      <c r="M47"/>
    </row>
    <row r="48" spans="1:17">
      <c r="A48" s="485">
        <v>8</v>
      </c>
      <c r="B48" s="487" t="s">
        <v>315</v>
      </c>
      <c r="C48" s="486">
        <v>3723914.68</v>
      </c>
      <c r="D48" s="486">
        <v>255923.02</v>
      </c>
      <c r="E48" s="486">
        <v>0</v>
      </c>
      <c r="F48" s="486">
        <v>0</v>
      </c>
      <c r="G48" s="486">
        <v>0</v>
      </c>
      <c r="H48" s="486">
        <v>3467991.66</v>
      </c>
      <c r="I48" s="486">
        <v>0</v>
      </c>
      <c r="J48" s="486" t="s">
        <v>398</v>
      </c>
      <c r="K48"/>
      <c r="L48"/>
      <c r="M48"/>
    </row>
    <row r="49" spans="1:13">
      <c r="A49" s="485">
        <v>9</v>
      </c>
      <c r="B49" s="487" t="s">
        <v>253</v>
      </c>
      <c r="C49" s="486">
        <v>111180</v>
      </c>
      <c r="D49" s="486">
        <v>111180</v>
      </c>
      <c r="E49" s="486">
        <v>0</v>
      </c>
      <c r="F49" s="486">
        <v>0</v>
      </c>
      <c r="G49" s="486">
        <v>0</v>
      </c>
      <c r="H49" s="486">
        <v>0</v>
      </c>
      <c r="I49" s="486">
        <v>0</v>
      </c>
      <c r="J49" s="486" t="s">
        <v>398</v>
      </c>
      <c r="K49"/>
      <c r="L49"/>
      <c r="M49"/>
    </row>
    <row r="50" spans="1:13">
      <c r="A50" s="485">
        <v>10</v>
      </c>
      <c r="B50" s="487" t="s">
        <v>314</v>
      </c>
      <c r="C50" s="486">
        <v>615246.44999999995</v>
      </c>
      <c r="D50" s="486">
        <v>615246.44999999995</v>
      </c>
      <c r="E50" s="486">
        <v>0</v>
      </c>
      <c r="F50" s="486">
        <v>0</v>
      </c>
      <c r="G50" s="486">
        <v>0</v>
      </c>
      <c r="H50" s="486">
        <v>0</v>
      </c>
      <c r="I50" s="486">
        <v>0</v>
      </c>
      <c r="J50" s="486" t="s">
        <v>398</v>
      </c>
      <c r="K50"/>
      <c r="L50"/>
      <c r="M50"/>
    </row>
    <row r="51" spans="1:13" ht="27" customHeight="1">
      <c r="A51" s="503" t="s">
        <v>312</v>
      </c>
      <c r="B51" s="503"/>
      <c r="C51" s="503"/>
      <c r="D51" s="503"/>
      <c r="E51" s="503"/>
      <c r="F51" s="503"/>
      <c r="G51" s="503"/>
      <c r="H51" s="503"/>
      <c r="I51" s="503"/>
      <c r="J51" s="503"/>
      <c r="K51"/>
      <c r="L51"/>
      <c r="M51"/>
    </row>
    <row r="52" spans="1:13" ht="27" customHeight="1">
      <c r="A52" s="487" t="s">
        <v>313</v>
      </c>
      <c r="C52" s="487">
        <v>3618028120.8099999</v>
      </c>
      <c r="D52" s="486">
        <v>2921946385.9299998</v>
      </c>
      <c r="E52" s="486">
        <v>681320384.71000004</v>
      </c>
      <c r="F52" s="486">
        <v>0</v>
      </c>
      <c r="G52" s="486">
        <v>0</v>
      </c>
      <c r="H52" s="486">
        <v>14761350.17</v>
      </c>
      <c r="I52" s="486">
        <v>0</v>
      </c>
      <c r="J52" s="486"/>
      <c r="K52"/>
      <c r="L52"/>
      <c r="M52"/>
    </row>
    <row r="53" spans="1:13" ht="27" customHeight="1">
      <c r="A53" s="503" t="s">
        <v>312</v>
      </c>
      <c r="B53" s="503"/>
      <c r="C53" s="503"/>
      <c r="D53" s="503"/>
      <c r="E53" s="503"/>
      <c r="F53" s="503"/>
      <c r="G53" s="503"/>
      <c r="H53" s="503"/>
      <c r="I53" s="503"/>
      <c r="J53" s="503"/>
      <c r="K53"/>
      <c r="L53"/>
      <c r="M53"/>
    </row>
    <row r="54" spans="1:13" ht="27" customHeight="1">
      <c r="A54" s="476" t="s">
        <v>312</v>
      </c>
      <c r="B54" s="476"/>
      <c r="C54" s="476"/>
      <c r="D54" s="476"/>
      <c r="E54" s="476"/>
      <c r="F54" s="476"/>
      <c r="G54" s="476"/>
      <c r="H54" s="476"/>
      <c r="I54" s="476"/>
      <c r="J54" s="476"/>
      <c r="K54" s="476"/>
      <c r="L54" s="476"/>
      <c r="M54"/>
    </row>
    <row r="55" spans="1:13">
      <c r="A55" s="484"/>
      <c r="B55" s="484"/>
      <c r="C55" s="484"/>
      <c r="D55" s="484"/>
      <c r="E55" s="484"/>
    </row>
    <row r="56" spans="1:13">
      <c r="A56" s="652"/>
      <c r="B56" s="652"/>
      <c r="C56" s="652"/>
      <c r="D56" s="652"/>
      <c r="E56" s="652"/>
      <c r="F56"/>
      <c r="G56"/>
      <c r="H56"/>
      <c r="I56"/>
      <c r="J56"/>
      <c r="K56"/>
      <c r="L56"/>
      <c r="M56"/>
    </row>
    <row r="57" spans="1:13" ht="15" customHeight="1">
      <c r="A57" s="648" t="s">
        <v>311</v>
      </c>
      <c r="B57" s="648"/>
      <c r="C57" s="648"/>
      <c r="D57" s="648"/>
      <c r="E57" s="648"/>
      <c r="F57" s="648"/>
      <c r="G57" s="648"/>
      <c r="H57" s="648"/>
      <c r="I57" s="648"/>
      <c r="J57" s="648"/>
      <c r="K57" s="648"/>
      <c r="L57"/>
      <c r="M57"/>
    </row>
    <row r="58" spans="1:13">
      <c r="A58"/>
      <c r="B58"/>
      <c r="C58"/>
      <c r="D58"/>
      <c r="E58"/>
      <c r="F58"/>
      <c r="G58"/>
      <c r="H58"/>
      <c r="I58"/>
      <c r="J58"/>
      <c r="K58"/>
      <c r="L58"/>
      <c r="M58"/>
    </row>
    <row r="59" spans="1:13" ht="15" customHeight="1">
      <c r="A59" s="648" t="s">
        <v>408</v>
      </c>
      <c r="B59" s="648"/>
      <c r="C59" s="648"/>
      <c r="D59" s="648"/>
      <c r="E59" s="648"/>
      <c r="F59" s="648"/>
      <c r="G59" s="648"/>
      <c r="H59" s="648"/>
      <c r="I59" s="648"/>
      <c r="J59" s="648"/>
      <c r="K59" s="648"/>
      <c r="L59"/>
      <c r="M59"/>
    </row>
    <row r="60" spans="1:13" ht="15" customHeight="1">
      <c r="A60" s="649" t="s">
        <v>405</v>
      </c>
      <c r="B60" s="649"/>
      <c r="C60" s="649"/>
      <c r="D60" s="649"/>
      <c r="E60" s="649" t="s">
        <v>406</v>
      </c>
      <c r="F60" s="649"/>
      <c r="G60" s="649"/>
      <c r="H60" s="649"/>
      <c r="I60" s="650" t="s">
        <v>409</v>
      </c>
      <c r="J60" s="650"/>
      <c r="K60" s="650"/>
      <c r="L60"/>
      <c r="M60"/>
    </row>
    <row r="61" spans="1:13" ht="27" customHeight="1">
      <c r="A61" s="649" t="s">
        <v>373</v>
      </c>
      <c r="B61" s="649"/>
      <c r="C61" s="649"/>
      <c r="D61" s="649"/>
      <c r="E61" s="649" t="s">
        <v>374</v>
      </c>
      <c r="F61" s="649"/>
      <c r="G61" s="649"/>
      <c r="H61" s="649"/>
      <c r="I61" s="649"/>
      <c r="J61" s="650" t="s">
        <v>375</v>
      </c>
      <c r="K61" s="650"/>
      <c r="L61" s="650"/>
      <c r="M61"/>
    </row>
    <row r="62" spans="1:13" ht="27" customHeight="1">
      <c r="A62" s="651"/>
      <c r="B62" s="651"/>
      <c r="C62" s="651"/>
      <c r="D62" s="651"/>
      <c r="E62" s="651"/>
      <c r="F62" s="651"/>
      <c r="G62" s="651"/>
      <c r="H62" s="651"/>
      <c r="I62" s="651"/>
      <c r="J62" s="651"/>
      <c r="K62" s="651"/>
      <c r="L62"/>
      <c r="M62"/>
    </row>
    <row r="63" spans="1:13" ht="27" customHeight="1">
      <c r="A63" s="647" t="s">
        <v>312</v>
      </c>
      <c r="B63" s="647"/>
      <c r="C63" s="647"/>
      <c r="D63" s="647"/>
      <c r="E63" s="647"/>
      <c r="F63" s="647"/>
      <c r="G63" s="647"/>
      <c r="H63" s="647"/>
      <c r="I63" s="647"/>
      <c r="J63" s="647"/>
      <c r="K63" s="647"/>
      <c r="L63" s="647"/>
      <c r="M63" s="647"/>
    </row>
    <row r="64" spans="1:13" ht="27" customHeight="1">
      <c r="A64" s="485" t="s">
        <v>329</v>
      </c>
      <c r="B64" s="485" t="s">
        <v>328</v>
      </c>
      <c r="C64" s="486" t="s">
        <v>369</v>
      </c>
      <c r="D64" s="486" t="s">
        <v>340</v>
      </c>
      <c r="E64" s="486" t="s">
        <v>368</v>
      </c>
      <c r="F64" s="486" t="s">
        <v>367</v>
      </c>
      <c r="G64" s="486" t="s">
        <v>366</v>
      </c>
      <c r="H64" s="486" t="s">
        <v>365</v>
      </c>
      <c r="I64" s="486" t="s">
        <v>364</v>
      </c>
      <c r="J64" s="486" t="s">
        <v>363</v>
      </c>
      <c r="K64" s="486" t="s">
        <v>332</v>
      </c>
      <c r="L64" s="486"/>
      <c r="M64"/>
    </row>
    <row r="65" spans="1:18" ht="27" customHeight="1">
      <c r="A65" s="486"/>
      <c r="B65" s="486"/>
      <c r="C65" s="486" t="s">
        <v>362</v>
      </c>
      <c r="D65" s="486" t="s">
        <v>361</v>
      </c>
      <c r="E65" s="486" t="s">
        <v>360</v>
      </c>
      <c r="F65" s="486" t="s">
        <v>359</v>
      </c>
      <c r="G65" s="486" t="s">
        <v>358</v>
      </c>
      <c r="H65" s="486" t="s">
        <v>357</v>
      </c>
      <c r="I65" s="486" t="s">
        <v>356</v>
      </c>
      <c r="J65" s="486" t="s">
        <v>355</v>
      </c>
      <c r="K65" s="486" t="s">
        <v>354</v>
      </c>
      <c r="L65" s="486"/>
      <c r="M65"/>
      <c r="O65" s="490" t="s">
        <v>302</v>
      </c>
      <c r="P65" s="490" t="s">
        <v>376</v>
      </c>
      <c r="Q65" s="490" t="s">
        <v>372</v>
      </c>
    </row>
    <row r="66" spans="1:18" ht="27" customHeight="1">
      <c r="A66" s="647" t="s">
        <v>312</v>
      </c>
      <c r="B66" s="647"/>
      <c r="C66" s="647"/>
      <c r="D66" s="647"/>
      <c r="E66" s="647"/>
      <c r="F66" s="647"/>
      <c r="G66" s="647"/>
      <c r="H66" s="647"/>
      <c r="I66" s="647"/>
      <c r="J66" s="647"/>
      <c r="K66" s="647"/>
      <c r="L66" s="647"/>
      <c r="M66" s="647"/>
    </row>
    <row r="67" spans="1:18">
      <c r="A67" s="485">
        <v>1</v>
      </c>
      <c r="B67" s="487" t="s">
        <v>322</v>
      </c>
      <c r="C67" s="486">
        <v>4974</v>
      </c>
      <c r="D67" s="486">
        <v>4480439731</v>
      </c>
      <c r="E67" s="486">
        <v>0</v>
      </c>
      <c r="F67" s="486">
        <v>4290181921.8800001</v>
      </c>
      <c r="G67" s="486">
        <v>0</v>
      </c>
      <c r="H67" s="486">
        <v>0</v>
      </c>
      <c r="I67" s="486">
        <v>82556527.629999995</v>
      </c>
      <c r="J67" s="486">
        <v>0</v>
      </c>
      <c r="K67" s="486">
        <v>37507350642.769997</v>
      </c>
      <c r="L67" s="486" t="s">
        <v>398</v>
      </c>
      <c r="M67"/>
    </row>
    <row r="68" spans="1:18">
      <c r="A68" s="488" t="s">
        <v>398</v>
      </c>
      <c r="B68" s="488" t="s">
        <v>398</v>
      </c>
      <c r="C68" s="489">
        <v>33880807349.790001</v>
      </c>
      <c r="D68" s="486">
        <v>0</v>
      </c>
      <c r="E68" s="486">
        <v>0</v>
      </c>
      <c r="F68" s="486">
        <v>90181205.849999994</v>
      </c>
      <c r="G68" s="486">
        <v>0</v>
      </c>
      <c r="H68" s="486">
        <v>0</v>
      </c>
      <c r="I68" s="486">
        <v>98883.19</v>
      </c>
      <c r="J68" s="486">
        <v>58754245.060000002</v>
      </c>
      <c r="K68" s="486">
        <v>38402580133.400002</v>
      </c>
      <c r="L68" s="486" t="s">
        <v>398</v>
      </c>
      <c r="M68"/>
      <c r="O68" s="491">
        <f>+C68+J68+I68+I67</f>
        <v>34022217005.670002</v>
      </c>
      <c r="P68" s="467">
        <f>+D41+H41</f>
        <v>2932257394.9700003</v>
      </c>
      <c r="Q68" s="467">
        <f>+D67</f>
        <v>4480439731</v>
      </c>
      <c r="R68" s="491">
        <f>+O68-P68</f>
        <v>31089959610.700001</v>
      </c>
    </row>
    <row r="69" spans="1:18">
      <c r="A69" s="485">
        <v>2</v>
      </c>
      <c r="B69" s="487" t="s">
        <v>321</v>
      </c>
      <c r="C69" s="486">
        <v>2</v>
      </c>
      <c r="D69" s="486">
        <v>3177800</v>
      </c>
      <c r="E69" s="486">
        <v>0</v>
      </c>
      <c r="F69" s="486">
        <v>0</v>
      </c>
      <c r="G69" s="486">
        <v>0</v>
      </c>
      <c r="H69" s="486">
        <v>0</v>
      </c>
      <c r="I69" s="486">
        <v>0</v>
      </c>
      <c r="J69" s="486">
        <v>0</v>
      </c>
      <c r="K69" s="486">
        <v>25366983.449999999</v>
      </c>
      <c r="L69" s="486" t="s">
        <v>398</v>
      </c>
      <c r="M69"/>
      <c r="R69" s="491">
        <f t="shared" ref="R69:R72" si="0">+O69-P69</f>
        <v>0</v>
      </c>
    </row>
    <row r="70" spans="1:18">
      <c r="A70" s="488" t="s">
        <v>398</v>
      </c>
      <c r="B70" s="488" t="s">
        <v>398</v>
      </c>
      <c r="C70" s="486">
        <v>25463679.350000001</v>
      </c>
      <c r="D70" s="486">
        <v>0</v>
      </c>
      <c r="E70" s="486">
        <v>0</v>
      </c>
      <c r="F70" s="486">
        <v>0</v>
      </c>
      <c r="G70" s="486">
        <v>0</v>
      </c>
      <c r="H70" s="486">
        <v>0</v>
      </c>
      <c r="I70" s="486">
        <v>0</v>
      </c>
      <c r="J70" s="486">
        <v>0</v>
      </c>
      <c r="K70" s="486">
        <v>25463679.350000001</v>
      </c>
      <c r="L70" s="486" t="s">
        <v>398</v>
      </c>
      <c r="M70"/>
      <c r="O70" s="491">
        <f>+C70+J70+I70+I69</f>
        <v>25463679.350000001</v>
      </c>
      <c r="P70" s="467">
        <f>+D42+H42</f>
        <v>0</v>
      </c>
      <c r="Q70" s="467">
        <f>+D69</f>
        <v>3177800</v>
      </c>
      <c r="R70" s="491">
        <f t="shared" si="0"/>
        <v>25463679.350000001</v>
      </c>
    </row>
    <row r="71" spans="1:18">
      <c r="A71" s="485">
        <v>3</v>
      </c>
      <c r="B71" s="487" t="s">
        <v>320</v>
      </c>
      <c r="C71" s="486">
        <v>17</v>
      </c>
      <c r="D71" s="486">
        <v>9799228</v>
      </c>
      <c r="E71" s="486">
        <v>0</v>
      </c>
      <c r="F71" s="486">
        <v>0</v>
      </c>
      <c r="G71" s="486">
        <v>0</v>
      </c>
      <c r="H71" s="486">
        <v>0</v>
      </c>
      <c r="I71" s="486">
        <v>16297.57</v>
      </c>
      <c r="J71" s="486">
        <v>0</v>
      </c>
      <c r="K71" s="486">
        <v>9010531.5199999996</v>
      </c>
      <c r="L71" s="486" t="s">
        <v>398</v>
      </c>
      <c r="M71"/>
      <c r="R71" s="491">
        <f t="shared" si="0"/>
        <v>0</v>
      </c>
    </row>
    <row r="72" spans="1:18">
      <c r="A72" s="488" t="s">
        <v>398</v>
      </c>
      <c r="B72" s="488" t="s">
        <v>398</v>
      </c>
      <c r="C72" s="486">
        <v>9010531.5199999996</v>
      </c>
      <c r="D72" s="486">
        <v>0</v>
      </c>
      <c r="E72" s="486">
        <v>0</v>
      </c>
      <c r="F72" s="486">
        <v>0</v>
      </c>
      <c r="G72" s="486">
        <v>0</v>
      </c>
      <c r="H72" s="486">
        <v>0</v>
      </c>
      <c r="I72" s="486">
        <v>0</v>
      </c>
      <c r="J72" s="486">
        <v>0</v>
      </c>
      <c r="K72" s="486">
        <v>9026829.0899999999</v>
      </c>
      <c r="L72" s="486" t="s">
        <v>398</v>
      </c>
      <c r="M72"/>
      <c r="O72" s="491">
        <f>+C72+J72+I72+I71</f>
        <v>9026829.0899999999</v>
      </c>
      <c r="P72" s="467">
        <f>+D43+H43</f>
        <v>0</v>
      </c>
      <c r="Q72" s="467">
        <f>+D71</f>
        <v>9799228</v>
      </c>
      <c r="R72" s="491">
        <f t="shared" si="0"/>
        <v>9026829.0899999999</v>
      </c>
    </row>
    <row r="73" spans="1:18">
      <c r="A73" s="485">
        <v>4</v>
      </c>
      <c r="B73" s="487" t="s">
        <v>319</v>
      </c>
      <c r="C73" s="486">
        <v>0</v>
      </c>
      <c r="D73" s="486">
        <v>0</v>
      </c>
      <c r="E73" s="486">
        <v>0</v>
      </c>
      <c r="F73" s="486">
        <v>0</v>
      </c>
      <c r="G73" s="486">
        <v>0</v>
      </c>
      <c r="H73" s="486">
        <v>0</v>
      </c>
      <c r="I73" s="486">
        <v>0</v>
      </c>
      <c r="J73" s="486">
        <v>0</v>
      </c>
      <c r="K73" s="486">
        <v>0</v>
      </c>
      <c r="L73" s="486" t="s">
        <v>398</v>
      </c>
      <c r="M73"/>
    </row>
    <row r="74" spans="1:18">
      <c r="A74" s="488" t="s">
        <v>398</v>
      </c>
      <c r="B74" s="488" t="s">
        <v>398</v>
      </c>
      <c r="C74" s="486">
        <v>0</v>
      </c>
      <c r="D74" s="486">
        <v>0</v>
      </c>
      <c r="E74" s="486">
        <v>0</v>
      </c>
      <c r="F74" s="486">
        <v>0</v>
      </c>
      <c r="G74" s="486">
        <v>0</v>
      </c>
      <c r="H74" s="486">
        <v>0</v>
      </c>
      <c r="I74" s="486">
        <v>0</v>
      </c>
      <c r="J74" s="486">
        <v>0</v>
      </c>
      <c r="K74" s="486">
        <v>0</v>
      </c>
      <c r="L74" s="486" t="s">
        <v>398</v>
      </c>
      <c r="M74"/>
    </row>
    <row r="75" spans="1:18">
      <c r="A75" s="485">
        <v>5</v>
      </c>
      <c r="B75" s="487" t="s">
        <v>318</v>
      </c>
      <c r="C75" s="486">
        <v>0</v>
      </c>
      <c r="D75" s="486">
        <v>0</v>
      </c>
      <c r="E75" s="486">
        <v>0</v>
      </c>
      <c r="F75" s="486">
        <v>0</v>
      </c>
      <c r="G75" s="486">
        <v>0</v>
      </c>
      <c r="H75" s="486">
        <v>0</v>
      </c>
      <c r="I75" s="486">
        <v>0</v>
      </c>
      <c r="J75" s="486">
        <v>0</v>
      </c>
      <c r="K75" s="486">
        <v>0</v>
      </c>
      <c r="L75" s="486" t="s">
        <v>398</v>
      </c>
      <c r="M75"/>
    </row>
    <row r="76" spans="1:18">
      <c r="A76" s="488" t="s">
        <v>398</v>
      </c>
      <c r="B76" s="488" t="s">
        <v>398</v>
      </c>
      <c r="C76" s="486">
        <v>0</v>
      </c>
      <c r="D76" s="486">
        <v>0</v>
      </c>
      <c r="E76" s="486">
        <v>0</v>
      </c>
      <c r="F76" s="486">
        <v>0</v>
      </c>
      <c r="G76" s="486">
        <v>0</v>
      </c>
      <c r="H76" s="486">
        <v>0</v>
      </c>
      <c r="I76" s="486">
        <v>0</v>
      </c>
      <c r="J76" s="486">
        <v>0</v>
      </c>
      <c r="K76" s="486">
        <v>0</v>
      </c>
      <c r="L76" s="486" t="s">
        <v>398</v>
      </c>
      <c r="M76"/>
    </row>
    <row r="77" spans="1:18">
      <c r="A77" s="485">
        <v>6</v>
      </c>
      <c r="B77" s="487" t="s">
        <v>317</v>
      </c>
      <c r="C77" s="486">
        <v>0</v>
      </c>
      <c r="D77" s="486">
        <v>0</v>
      </c>
      <c r="E77" s="486">
        <v>0</v>
      </c>
      <c r="F77" s="486">
        <v>0</v>
      </c>
      <c r="G77" s="486">
        <v>0</v>
      </c>
      <c r="H77" s="486">
        <v>0</v>
      </c>
      <c r="I77" s="486">
        <v>0</v>
      </c>
      <c r="J77" s="486">
        <v>0</v>
      </c>
      <c r="K77" s="486">
        <v>0</v>
      </c>
      <c r="L77" s="486" t="s">
        <v>398</v>
      </c>
      <c r="M77"/>
    </row>
    <row r="78" spans="1:18">
      <c r="A78" s="488" t="s">
        <v>398</v>
      </c>
      <c r="B78" s="488" t="s">
        <v>398</v>
      </c>
      <c r="C78" s="486">
        <v>0</v>
      </c>
      <c r="D78" s="486">
        <v>0</v>
      </c>
      <c r="E78" s="486">
        <v>0</v>
      </c>
      <c r="F78" s="486">
        <v>0</v>
      </c>
      <c r="G78" s="486">
        <v>0</v>
      </c>
      <c r="H78" s="486">
        <v>0</v>
      </c>
      <c r="I78" s="486">
        <v>0</v>
      </c>
      <c r="J78" s="486">
        <v>0</v>
      </c>
      <c r="K78" s="486">
        <v>0</v>
      </c>
      <c r="L78" s="486" t="s">
        <v>398</v>
      </c>
      <c r="M78"/>
    </row>
    <row r="79" spans="1:18">
      <c r="A79" s="485">
        <v>7</v>
      </c>
      <c r="B79" s="487" t="s">
        <v>316</v>
      </c>
      <c r="C79" s="486">
        <v>0</v>
      </c>
      <c r="D79" s="486">
        <v>0</v>
      </c>
      <c r="E79" s="486">
        <v>0</v>
      </c>
      <c r="F79" s="486">
        <v>0</v>
      </c>
      <c r="G79" s="486">
        <v>0</v>
      </c>
      <c r="H79" s="486">
        <v>0</v>
      </c>
      <c r="I79" s="486">
        <v>0</v>
      </c>
      <c r="J79" s="486">
        <v>0</v>
      </c>
      <c r="K79" s="486">
        <v>0</v>
      </c>
      <c r="L79" s="486" t="s">
        <v>398</v>
      </c>
      <c r="M79"/>
    </row>
    <row r="80" spans="1:18">
      <c r="A80" s="488" t="s">
        <v>398</v>
      </c>
      <c r="B80" s="488" t="s">
        <v>398</v>
      </c>
      <c r="C80" s="486">
        <v>0</v>
      </c>
      <c r="D80" s="486">
        <v>0</v>
      </c>
      <c r="E80" s="486">
        <v>0</v>
      </c>
      <c r="F80" s="486">
        <v>0</v>
      </c>
      <c r="G80" s="486">
        <v>0</v>
      </c>
      <c r="H80" s="486">
        <v>0</v>
      </c>
      <c r="I80" s="486">
        <v>0</v>
      </c>
      <c r="J80" s="486">
        <v>0</v>
      </c>
      <c r="K80" s="486">
        <v>0</v>
      </c>
      <c r="L80" s="486" t="s">
        <v>398</v>
      </c>
      <c r="M80"/>
    </row>
    <row r="81" spans="1:18">
      <c r="A81" s="485">
        <v>8</v>
      </c>
      <c r="B81" s="487" t="s">
        <v>315</v>
      </c>
      <c r="C81" s="486">
        <v>1582</v>
      </c>
      <c r="D81" s="486">
        <v>0</v>
      </c>
      <c r="E81" s="486">
        <v>0</v>
      </c>
      <c r="F81" s="486">
        <v>0</v>
      </c>
      <c r="G81" s="486">
        <v>0</v>
      </c>
      <c r="H81" s="486">
        <v>0</v>
      </c>
      <c r="I81" s="486">
        <v>10260745.470000001</v>
      </c>
      <c r="J81" s="486">
        <v>0</v>
      </c>
      <c r="K81" s="486">
        <v>0</v>
      </c>
      <c r="L81" s="486" t="s">
        <v>398</v>
      </c>
      <c r="M81"/>
    </row>
    <row r="82" spans="1:18">
      <c r="A82" s="488" t="s">
        <v>398</v>
      </c>
      <c r="B82" s="488" t="s">
        <v>398</v>
      </c>
      <c r="C82" s="486">
        <v>1650164905.3299999</v>
      </c>
      <c r="D82" s="486">
        <v>0</v>
      </c>
      <c r="E82" s="486">
        <v>0</v>
      </c>
      <c r="F82" s="486">
        <v>156258.28</v>
      </c>
      <c r="G82" s="486">
        <v>0</v>
      </c>
      <c r="H82" s="486">
        <v>0</v>
      </c>
      <c r="I82" s="486">
        <v>6861832.4199999999</v>
      </c>
      <c r="J82" s="486">
        <v>0</v>
      </c>
      <c r="K82" s="486">
        <v>1667443741.5</v>
      </c>
      <c r="L82" s="486" t="s">
        <v>398</v>
      </c>
      <c r="M82"/>
    </row>
    <row r="83" spans="1:18">
      <c r="A83" s="485">
        <v>9</v>
      </c>
      <c r="B83" s="487" t="s">
        <v>253</v>
      </c>
      <c r="C83" s="486">
        <v>55</v>
      </c>
      <c r="D83" s="486">
        <v>0</v>
      </c>
      <c r="E83" s="486">
        <v>0</v>
      </c>
      <c r="F83" s="486">
        <v>0</v>
      </c>
      <c r="G83" s="486">
        <v>0</v>
      </c>
      <c r="H83" s="486">
        <v>0</v>
      </c>
      <c r="I83" s="486">
        <v>107782.96</v>
      </c>
      <c r="J83" s="486">
        <v>0</v>
      </c>
      <c r="K83" s="486">
        <v>14362832.810000001</v>
      </c>
      <c r="L83" s="486" t="s">
        <v>398</v>
      </c>
      <c r="M83"/>
    </row>
    <row r="84" spans="1:18">
      <c r="A84" s="488" t="s">
        <v>398</v>
      </c>
      <c r="B84" s="488" t="s">
        <v>398</v>
      </c>
      <c r="C84" s="486">
        <v>19208497.809999999</v>
      </c>
      <c r="D84" s="486">
        <v>0</v>
      </c>
      <c r="E84" s="486">
        <v>0</v>
      </c>
      <c r="F84" s="486">
        <v>0</v>
      </c>
      <c r="G84" s="486">
        <v>0</v>
      </c>
      <c r="H84" s="486">
        <v>0</v>
      </c>
      <c r="I84" s="486">
        <v>0</v>
      </c>
      <c r="J84" s="486">
        <v>0</v>
      </c>
      <c r="K84" s="486">
        <v>19316280.77</v>
      </c>
      <c r="L84" s="486" t="s">
        <v>398</v>
      </c>
      <c r="M84"/>
    </row>
    <row r="85" spans="1:18" ht="27" customHeight="1">
      <c r="A85" s="485">
        <v>10</v>
      </c>
      <c r="B85" s="487" t="s">
        <v>314</v>
      </c>
      <c r="C85" s="486">
        <v>55</v>
      </c>
      <c r="D85" s="486">
        <v>10543117</v>
      </c>
      <c r="E85" s="486">
        <v>0</v>
      </c>
      <c r="F85" s="486">
        <v>525830.55000000005</v>
      </c>
      <c r="G85" s="486">
        <v>0</v>
      </c>
      <c r="H85" s="486">
        <v>0</v>
      </c>
      <c r="I85" s="486">
        <v>688791.94</v>
      </c>
      <c r="J85" s="486">
        <v>0</v>
      </c>
      <c r="K85" s="486">
        <v>81246789.900000006</v>
      </c>
      <c r="L85" s="486" t="s">
        <v>398</v>
      </c>
      <c r="M85"/>
      <c r="O85" s="491">
        <f>+C85+J85+I85+I84</f>
        <v>688846.94</v>
      </c>
      <c r="P85" s="467">
        <f>+D50+H50</f>
        <v>615246.44999999995</v>
      </c>
      <c r="Q85" s="467">
        <f>+D84</f>
        <v>0</v>
      </c>
      <c r="R85" s="491">
        <f t="shared" ref="R85" si="1">+O85-P85</f>
        <v>73600.489999999991</v>
      </c>
    </row>
    <row r="86" spans="1:18" ht="27" customHeight="1">
      <c r="A86" s="488" t="s">
        <v>398</v>
      </c>
      <c r="B86" s="488" t="s">
        <v>398</v>
      </c>
      <c r="C86" s="486">
        <v>81470755.370000005</v>
      </c>
      <c r="D86" s="486">
        <v>0</v>
      </c>
      <c r="E86" s="486">
        <v>0</v>
      </c>
      <c r="F86" s="486">
        <v>3028.85</v>
      </c>
      <c r="G86" s="486">
        <v>0</v>
      </c>
      <c r="H86" s="486">
        <v>0</v>
      </c>
      <c r="I86" s="486">
        <v>0</v>
      </c>
      <c r="J86" s="486">
        <v>161347</v>
      </c>
      <c r="K86" s="486">
        <v>82849753.709999993</v>
      </c>
      <c r="L86" s="486"/>
      <c r="M86"/>
    </row>
    <row r="87" spans="1:18" ht="27" customHeight="1">
      <c r="A87" s="647" t="s">
        <v>312</v>
      </c>
      <c r="B87" s="647"/>
      <c r="C87" s="647"/>
      <c r="D87" s="647"/>
      <c r="E87" s="647"/>
      <c r="F87" s="647"/>
      <c r="G87" s="647"/>
      <c r="H87" s="647"/>
      <c r="I87" s="647"/>
      <c r="J87" s="647"/>
      <c r="K87" s="647"/>
      <c r="L87" s="647"/>
      <c r="M87" s="647"/>
    </row>
    <row r="88" spans="1:18" ht="27" customHeight="1">
      <c r="A88" s="487" t="s">
        <v>313</v>
      </c>
      <c r="B88" s="487">
        <v>6685</v>
      </c>
      <c r="C88" s="486">
        <v>4503959876</v>
      </c>
      <c r="D88" s="486">
        <v>0</v>
      </c>
      <c r="E88" s="486">
        <v>4290707752.4299998</v>
      </c>
      <c r="F88" s="486">
        <v>0</v>
      </c>
      <c r="G88" s="486">
        <v>0</v>
      </c>
      <c r="H88" s="486">
        <v>93630145.569999993</v>
      </c>
      <c r="I88" s="486">
        <v>0</v>
      </c>
      <c r="J88" s="486">
        <v>37637337780.449997</v>
      </c>
      <c r="K88" s="486" t="s">
        <v>398</v>
      </c>
      <c r="L88" s="486"/>
      <c r="M88"/>
      <c r="O88" s="492">
        <f>+SUM(O67:O86)/10000000</f>
        <v>3405.739636105</v>
      </c>
      <c r="P88" s="492">
        <f>+SUM(P67:P86)/10000000</f>
        <v>293.28726414200003</v>
      </c>
      <c r="Q88" s="492">
        <f>+SUM(Q67:Q86)/1000000</f>
        <v>4493.4167589999997</v>
      </c>
    </row>
    <row r="89" spans="1:18" ht="27" customHeight="1">
      <c r="A89" s="486" t="s">
        <v>398</v>
      </c>
      <c r="B89" s="486" t="s">
        <v>398</v>
      </c>
      <c r="C89" s="486">
        <v>35666125719.169998</v>
      </c>
      <c r="D89" s="486">
        <v>0</v>
      </c>
      <c r="E89" s="486">
        <v>0</v>
      </c>
      <c r="F89" s="486">
        <v>90340492.980000004</v>
      </c>
      <c r="G89" s="486">
        <v>0</v>
      </c>
      <c r="H89" s="486">
        <v>0</v>
      </c>
      <c r="I89" s="486">
        <v>6960715.6100000003</v>
      </c>
      <c r="J89" s="486">
        <v>58915592.060000002</v>
      </c>
      <c r="K89" s="486">
        <v>40206680417.82</v>
      </c>
      <c r="L89" s="486"/>
      <c r="M89"/>
    </row>
    <row r="90" spans="1:18" ht="27" customHeight="1">
      <c r="A90" s="647" t="s">
        <v>312</v>
      </c>
      <c r="B90" s="647"/>
      <c r="C90" s="647"/>
      <c r="D90" s="647"/>
      <c r="E90" s="647"/>
      <c r="F90" s="647"/>
      <c r="G90" s="647"/>
      <c r="H90" s="647"/>
      <c r="I90" s="647"/>
      <c r="J90" s="647"/>
      <c r="K90" s="647"/>
      <c r="L90" s="647"/>
      <c r="M90" s="647"/>
    </row>
    <row r="91" spans="1:18" ht="15" customHeight="1">
      <c r="A91"/>
      <c r="B91"/>
      <c r="C91"/>
      <c r="D91"/>
      <c r="E91"/>
      <c r="F91"/>
      <c r="G91"/>
      <c r="H91"/>
      <c r="I91"/>
      <c r="J91"/>
      <c r="K91"/>
      <c r="L91"/>
      <c r="M91"/>
    </row>
    <row r="92" spans="1:18" ht="27" customHeight="1">
      <c r="A92" s="648" t="s">
        <v>353</v>
      </c>
      <c r="B92" s="648"/>
      <c r="C92" s="648"/>
      <c r="D92" s="648"/>
      <c r="E92" s="648"/>
      <c r="F92"/>
      <c r="G92"/>
      <c r="H92"/>
      <c r="I92"/>
      <c r="J92"/>
      <c r="K92"/>
      <c r="L92"/>
      <c r="M92"/>
    </row>
    <row r="93" spans="1:18" ht="27" customHeight="1">
      <c r="A93" s="486"/>
      <c r="B93" s="486"/>
      <c r="C93" s="486"/>
      <c r="D93" s="486"/>
      <c r="E93" s="486"/>
      <c r="F93"/>
      <c r="G93"/>
      <c r="H93"/>
      <c r="I93"/>
      <c r="J93"/>
      <c r="K93"/>
      <c r="L93"/>
      <c r="M93"/>
    </row>
    <row r="94" spans="1:18" ht="27" customHeight="1">
      <c r="A94" s="647" t="s">
        <v>312</v>
      </c>
      <c r="B94" s="647"/>
      <c r="C94" s="647"/>
      <c r="D94" s="647"/>
      <c r="E94" s="647"/>
      <c r="F94" s="647"/>
      <c r="G94" s="647"/>
      <c r="H94" s="647"/>
      <c r="I94" s="647"/>
      <c r="J94" s="647"/>
      <c r="K94" s="647"/>
      <c r="L94" s="647"/>
      <c r="M94" s="647"/>
    </row>
    <row r="95" spans="1:18" ht="27" customHeight="1">
      <c r="A95" s="485" t="s">
        <v>329</v>
      </c>
      <c r="B95" s="487" t="s">
        <v>328</v>
      </c>
      <c r="C95" s="486" t="s">
        <v>352</v>
      </c>
      <c r="D95" s="486" t="s">
        <v>351</v>
      </c>
      <c r="E95" s="486" t="s">
        <v>350</v>
      </c>
      <c r="F95" s="486" t="s">
        <v>349</v>
      </c>
      <c r="G95" s="486" t="s">
        <v>348</v>
      </c>
      <c r="H95" s="486" t="s">
        <v>347</v>
      </c>
      <c r="I95" s="486" t="s">
        <v>346</v>
      </c>
      <c r="J95" s="486" t="s">
        <v>345</v>
      </c>
      <c r="K95" s="486" t="s">
        <v>344</v>
      </c>
      <c r="L95" s="486" t="s">
        <v>343</v>
      </c>
      <c r="M95"/>
    </row>
    <row r="96" spans="1:18" ht="27" customHeight="1">
      <c r="A96" s="647" t="s">
        <v>312</v>
      </c>
      <c r="B96" s="647"/>
      <c r="C96" s="647"/>
      <c r="D96" s="647"/>
      <c r="E96" s="647"/>
      <c r="F96" s="647"/>
      <c r="G96" s="647"/>
      <c r="H96" s="647"/>
      <c r="I96" s="647"/>
      <c r="J96" s="647"/>
      <c r="K96" s="647"/>
      <c r="L96" s="647"/>
      <c r="M96" s="647"/>
    </row>
    <row r="97" spans="1:13">
      <c r="A97" s="485">
        <v>1</v>
      </c>
      <c r="B97" s="487" t="s">
        <v>322</v>
      </c>
      <c r="C97" s="486">
        <v>3521936495.5599999</v>
      </c>
      <c r="D97" s="486">
        <v>18928897956.77</v>
      </c>
      <c r="E97" s="486">
        <v>1166007933.45</v>
      </c>
      <c r="F97" s="486">
        <v>10613969009</v>
      </c>
      <c r="G97" s="486">
        <v>0</v>
      </c>
      <c r="H97" s="486">
        <v>27927389.510000002</v>
      </c>
      <c r="I97" s="486">
        <v>663638628.89999998</v>
      </c>
      <c r="J97" s="486">
        <v>-345333035.02999997</v>
      </c>
      <c r="K97" s="486">
        <v>-75736391.120000005</v>
      </c>
      <c r="L97" s="486">
        <v>-620511281.99000001</v>
      </c>
      <c r="M97"/>
    </row>
    <row r="98" spans="1:13">
      <c r="A98" s="485">
        <v>2</v>
      </c>
      <c r="B98" s="487" t="s">
        <v>321</v>
      </c>
      <c r="C98" s="486">
        <v>2408925</v>
      </c>
      <c r="D98" s="486">
        <v>15889000</v>
      </c>
      <c r="E98" s="486">
        <v>0</v>
      </c>
      <c r="F98" s="486">
        <v>7652496</v>
      </c>
      <c r="G98" s="486">
        <v>0</v>
      </c>
      <c r="H98" s="486">
        <v>0</v>
      </c>
      <c r="I98" s="486">
        <v>96695.9</v>
      </c>
      <c r="J98" s="486">
        <v>-394103.17</v>
      </c>
      <c r="K98" s="486">
        <v>-189334.38</v>
      </c>
      <c r="L98" s="486">
        <v>0</v>
      </c>
      <c r="M98"/>
    </row>
    <row r="99" spans="1:13">
      <c r="A99" s="485">
        <v>3</v>
      </c>
      <c r="B99" s="487" t="s">
        <v>320</v>
      </c>
      <c r="C99" s="486">
        <v>1285425</v>
      </c>
      <c r="D99" s="486">
        <v>7839382.4000000004</v>
      </c>
      <c r="E99" s="486">
        <v>0</v>
      </c>
      <c r="F99" s="486">
        <v>0</v>
      </c>
      <c r="G99" s="486">
        <v>0</v>
      </c>
      <c r="H99" s="486">
        <v>94961.5</v>
      </c>
      <c r="I99" s="486">
        <v>0</v>
      </c>
      <c r="J99" s="486">
        <v>-160118.84</v>
      </c>
      <c r="K99" s="486">
        <v>-49118.54</v>
      </c>
      <c r="L99" s="486">
        <v>0</v>
      </c>
      <c r="M99"/>
    </row>
    <row r="100" spans="1:13">
      <c r="A100" s="485">
        <v>4</v>
      </c>
      <c r="B100" s="487" t="s">
        <v>319</v>
      </c>
      <c r="C100" s="486">
        <v>0</v>
      </c>
      <c r="D100" s="486">
        <v>0</v>
      </c>
      <c r="E100" s="486">
        <v>0</v>
      </c>
      <c r="F100" s="486">
        <v>0</v>
      </c>
      <c r="G100" s="486">
        <v>0</v>
      </c>
      <c r="H100" s="486">
        <v>0</v>
      </c>
      <c r="I100" s="486">
        <v>0</v>
      </c>
      <c r="J100" s="486">
        <v>0</v>
      </c>
      <c r="K100" s="486">
        <v>0</v>
      </c>
      <c r="L100" s="486">
        <v>0</v>
      </c>
      <c r="M100"/>
    </row>
    <row r="101" spans="1:13">
      <c r="A101" s="485">
        <v>5</v>
      </c>
      <c r="B101" s="487" t="s">
        <v>318</v>
      </c>
      <c r="C101" s="486">
        <v>0</v>
      </c>
      <c r="D101" s="486">
        <v>0</v>
      </c>
      <c r="E101" s="486">
        <v>0</v>
      </c>
      <c r="F101" s="486">
        <v>0</v>
      </c>
      <c r="G101" s="486">
        <v>0</v>
      </c>
      <c r="H101" s="486">
        <v>0</v>
      </c>
      <c r="I101" s="486">
        <v>0</v>
      </c>
      <c r="J101" s="486">
        <v>0</v>
      </c>
      <c r="K101" s="486">
        <v>0</v>
      </c>
      <c r="L101" s="486">
        <v>0</v>
      </c>
      <c r="M101"/>
    </row>
    <row r="102" spans="1:13">
      <c r="A102" s="485">
        <v>6</v>
      </c>
      <c r="B102" s="487" t="s">
        <v>317</v>
      </c>
      <c r="C102" s="486">
        <v>0</v>
      </c>
      <c r="D102" s="486">
        <v>0</v>
      </c>
      <c r="E102" s="486">
        <v>0</v>
      </c>
      <c r="F102" s="486">
        <v>0</v>
      </c>
      <c r="G102" s="486">
        <v>0</v>
      </c>
      <c r="H102" s="486">
        <v>0</v>
      </c>
      <c r="I102" s="486">
        <v>0</v>
      </c>
      <c r="J102" s="486">
        <v>0</v>
      </c>
      <c r="K102" s="486">
        <v>0</v>
      </c>
      <c r="L102" s="486">
        <v>0</v>
      </c>
      <c r="M102"/>
    </row>
    <row r="103" spans="1:13">
      <c r="A103" s="485">
        <v>7</v>
      </c>
      <c r="B103" s="487" t="s">
        <v>316</v>
      </c>
      <c r="C103" s="486">
        <v>0</v>
      </c>
      <c r="D103" s="486">
        <v>0</v>
      </c>
      <c r="E103" s="486">
        <v>0</v>
      </c>
      <c r="F103" s="486">
        <v>0</v>
      </c>
      <c r="G103" s="486">
        <v>0</v>
      </c>
      <c r="H103" s="486">
        <v>0</v>
      </c>
      <c r="I103" s="486">
        <v>0</v>
      </c>
      <c r="J103" s="486">
        <v>0</v>
      </c>
      <c r="K103" s="486">
        <v>0</v>
      </c>
      <c r="L103" s="486">
        <v>0</v>
      </c>
      <c r="M103"/>
    </row>
    <row r="104" spans="1:13">
      <c r="A104" s="485">
        <v>8</v>
      </c>
      <c r="B104" s="487" t="s">
        <v>315</v>
      </c>
      <c r="C104" s="486">
        <v>0</v>
      </c>
      <c r="D104" s="486">
        <v>0</v>
      </c>
      <c r="E104" s="486">
        <v>0</v>
      </c>
      <c r="F104" s="486">
        <v>0</v>
      </c>
      <c r="G104" s="486">
        <v>0</v>
      </c>
      <c r="H104" s="486">
        <v>0</v>
      </c>
      <c r="I104" s="486">
        <v>1650164905.3299999</v>
      </c>
      <c r="J104" s="486">
        <v>0</v>
      </c>
      <c r="K104" s="486">
        <v>0</v>
      </c>
      <c r="L104" s="486">
        <v>0</v>
      </c>
      <c r="M104"/>
    </row>
    <row r="105" spans="1:13" ht="27" customHeight="1">
      <c r="A105" s="485">
        <v>9</v>
      </c>
      <c r="B105" s="487" t="s">
        <v>253</v>
      </c>
      <c r="C105" s="486">
        <v>14362832.810000001</v>
      </c>
      <c r="D105" s="486">
        <v>0</v>
      </c>
      <c r="E105" s="486">
        <v>0</v>
      </c>
      <c r="F105" s="486">
        <v>0</v>
      </c>
      <c r="G105" s="486">
        <v>0</v>
      </c>
      <c r="H105" s="486">
        <v>0</v>
      </c>
      <c r="I105" s="486">
        <v>4845665</v>
      </c>
      <c r="J105" s="486">
        <v>0</v>
      </c>
      <c r="K105" s="486">
        <v>0</v>
      </c>
      <c r="L105" s="486">
        <v>0</v>
      </c>
      <c r="M105"/>
    </row>
    <row r="106" spans="1:13" ht="27" customHeight="1">
      <c r="A106" s="485">
        <v>10</v>
      </c>
      <c r="B106" s="487" t="s">
        <v>314</v>
      </c>
      <c r="C106" s="486">
        <v>7580891.3700000001</v>
      </c>
      <c r="D106" s="486">
        <v>46275404.950000003</v>
      </c>
      <c r="E106" s="486">
        <v>2061537.4</v>
      </c>
      <c r="F106" s="486">
        <v>24762449.300000001</v>
      </c>
      <c r="G106" s="486">
        <v>0</v>
      </c>
      <c r="H106" s="486">
        <v>1564668.11</v>
      </c>
      <c r="I106" s="486">
        <v>749796.02</v>
      </c>
      <c r="J106" s="486">
        <v>-396501.68</v>
      </c>
      <c r="K106" s="486">
        <v>0</v>
      </c>
      <c r="L106" s="486">
        <v>-1127490.1000000001</v>
      </c>
      <c r="M106"/>
    </row>
    <row r="107" spans="1:13" ht="27" customHeight="1">
      <c r="A107" s="503" t="s">
        <v>312</v>
      </c>
      <c r="B107" s="503"/>
      <c r="C107" s="503"/>
      <c r="D107" s="503"/>
      <c r="E107" s="503"/>
      <c r="F107" s="503"/>
      <c r="G107" s="503"/>
      <c r="H107" s="503"/>
      <c r="I107" s="503"/>
      <c r="J107" s="503"/>
      <c r="K107" s="503"/>
      <c r="L107" s="503"/>
      <c r="M107"/>
    </row>
    <row r="108" spans="1:13" ht="27" customHeight="1">
      <c r="A108" s="487" t="s">
        <v>313</v>
      </c>
      <c r="B108" s="487">
        <v>3547574569.7399998</v>
      </c>
      <c r="C108" s="486">
        <v>18998901744.119999</v>
      </c>
      <c r="D108" s="486">
        <v>1168069470.8499999</v>
      </c>
      <c r="E108" s="486">
        <v>10646383954.299999</v>
      </c>
      <c r="F108" s="486">
        <v>0</v>
      </c>
      <c r="G108" s="486">
        <v>29587019.120000001</v>
      </c>
      <c r="H108" s="486">
        <v>2319495691.1500001</v>
      </c>
      <c r="I108" s="486">
        <v>-346283758.72000003</v>
      </c>
      <c r="J108" s="486">
        <v>-75974844.040000007</v>
      </c>
      <c r="K108" s="486">
        <v>-621638772.09000003</v>
      </c>
      <c r="L108" s="486"/>
      <c r="M108"/>
    </row>
    <row r="109" spans="1:13" ht="27" customHeight="1">
      <c r="A109" s="647" t="s">
        <v>312</v>
      </c>
      <c r="B109" s="647"/>
      <c r="C109" s="647"/>
      <c r="D109" s="647"/>
      <c r="E109" s="647"/>
      <c r="F109" s="647"/>
      <c r="G109" s="647"/>
      <c r="H109" s="647"/>
      <c r="I109" s="647"/>
      <c r="J109" s="647"/>
      <c r="K109" s="647"/>
      <c r="L109" s="647"/>
      <c r="M109"/>
    </row>
  </sheetData>
  <mergeCells count="32">
    <mergeCell ref="A1:E1"/>
    <mergeCell ref="A2:K2"/>
    <mergeCell ref="A4:K4"/>
    <mergeCell ref="A5:D5"/>
    <mergeCell ref="E5:H5"/>
    <mergeCell ref="I5:K5"/>
    <mergeCell ref="A6:D6"/>
    <mergeCell ref="E6:I6"/>
    <mergeCell ref="J6:L6"/>
    <mergeCell ref="A7:K7"/>
    <mergeCell ref="A60:D60"/>
    <mergeCell ref="A56:E56"/>
    <mergeCell ref="A57:K57"/>
    <mergeCell ref="A59:K59"/>
    <mergeCell ref="E60:H60"/>
    <mergeCell ref="I60:K60"/>
    <mergeCell ref="A10:K10"/>
    <mergeCell ref="A34:K34"/>
    <mergeCell ref="A36:E36"/>
    <mergeCell ref="A38:J38"/>
    <mergeCell ref="A66:M66"/>
    <mergeCell ref="A61:D61"/>
    <mergeCell ref="E61:I61"/>
    <mergeCell ref="J61:L61"/>
    <mergeCell ref="A62:K62"/>
    <mergeCell ref="A63:M63"/>
    <mergeCell ref="A109:L109"/>
    <mergeCell ref="A87:M87"/>
    <mergeCell ref="A90:M90"/>
    <mergeCell ref="A92:E92"/>
    <mergeCell ref="A94:M94"/>
    <mergeCell ref="A96:M9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election activeCell="P9" sqref="P9"/>
    </sheetView>
  </sheetViews>
  <sheetFormatPr baseColWidth="10" defaultColWidth="8.83203125" defaultRowHeight="1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Glance</vt:lpstr>
      <vt:lpstr>REVENUE DATA </vt:lpstr>
      <vt:lpstr>Financial Data </vt:lpstr>
      <vt:lpstr>2.revenue Backup)</vt:lpstr>
      <vt:lpstr>Income &amp; OFR Back up</vt:lpstr>
      <vt:lpstr>SOP-14 H1</vt:lpstr>
      <vt:lpstr>LT</vt:lpstr>
      <vt:lpstr>HT</vt:lpstr>
      <vt:lpstr>Sheet1</vt:lpstr>
      <vt:lpstr>Sheet2</vt:lpstr>
      <vt:lpstr>'2.revenue Backup)'!Print_Area</vt:lpstr>
      <vt:lpstr>'Financial Data '!Print_Area</vt:lpstr>
      <vt:lpstr>Glance!Print_Area</vt:lpstr>
      <vt:lpstr>'Income &amp; OFR Back up'!Print_Area</vt:lpstr>
      <vt:lpstr>'REVENUE DATA '!Print_Area</vt:lpstr>
      <vt:lpstr>'SOP-14 H1'!Print_Area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Microsoft Office User</cp:lastModifiedBy>
  <cp:lastPrinted>2022-12-16T08:15:26Z</cp:lastPrinted>
  <dcterms:created xsi:type="dcterms:W3CDTF">1996-10-14T23:33:28Z</dcterms:created>
  <dcterms:modified xsi:type="dcterms:W3CDTF">2022-12-23T11:07:44Z</dcterms:modified>
</cp:coreProperties>
</file>