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6.xml" ContentType="application/vnd.openxmlformats-officedocument.spreadsheetml.externalLink+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defaultThemeVersion="124226"/>
  <bookViews>
    <workbookView xWindow="0" yWindow="0" windowWidth="20490" windowHeight="7755"/>
  </bookViews>
  <sheets>
    <sheet name="SHEET-1" sheetId="24" r:id="rId1"/>
    <sheet name="SHEET-2" sheetId="25" r:id="rId2"/>
    <sheet name="SHEET-3" sheetId="26" r:id="rId3"/>
    <sheet name="SHEET-4" sheetId="32" r:id="rId4"/>
    <sheet name="SHEET-5" sheetId="33" r:id="rId5"/>
    <sheet name="SHEET-6" sheetId="30" r:id="rId6"/>
    <sheet name="SHEET-7" sheetId="31" r:id="rId7"/>
    <sheet name="T&amp;D" sheetId="35" r:id="rId8"/>
    <sheet name="Meter tesing &amp; defective Q42122" sheetId="36" r:id="rId9"/>
    <sheet name="Sheet1" sheetId="34" state="hidden" r:id="rId10"/>
  </sheets>
  <externalReferences>
    <externalReference r:id="rId11"/>
    <externalReference r:id="rId12"/>
    <externalReference r:id="rId13"/>
    <externalReference r:id="rId14"/>
    <externalReference r:id="rId15"/>
    <externalReference r:id="rId16"/>
  </externalReferences>
  <definedNames>
    <definedName name="_131" hidden="1">[1]zpF0001!$O$149:$O$158</definedName>
    <definedName name="_132" hidden="1">[1]zpF0001!$A$39:$CB$78</definedName>
    <definedName name="_brh1" hidden="1">{"'Sheet1'!$A$4386:$N$4591"}</definedName>
    <definedName name="_Dist_Bin" localSheetId="7" hidden="1">#REF!</definedName>
    <definedName name="_Dist_Bin" hidden="1">#REF!</definedName>
    <definedName name="_Dist_Values" localSheetId="7" hidden="1">#REF!</definedName>
    <definedName name="_Dist_Values" hidden="1">#REF!</definedName>
    <definedName name="_Key1" hidden="1">[1]zpF0001!$E$39:$E$78</definedName>
    <definedName name="_Key2" hidden="1">[1]zpF0001!$O$149:$O$158</definedName>
    <definedName name="_Order1" hidden="1">255</definedName>
    <definedName name="_Order2" hidden="1">255</definedName>
    <definedName name="_Sort" hidden="1">[1]zpF0001!$A$39:$CB$78</definedName>
    <definedName name="a_4">[2]shp_T_D_drive!$A$1:$AE$31</definedName>
    <definedName name="a_5">[3]shp_T_D_drive!$A$1:$AE$31</definedName>
    <definedName name="a_6">[3]shp_T_D_drive!$A$1:$AE$31</definedName>
    <definedName name="a_8">[2]shp_T_D_drive!$A$1:$AE$31</definedName>
    <definedName name="a_9">[2]shp_T_D_drive!$A$1:$AE$31</definedName>
    <definedName name="aa_4">[2]shp_T_D_drive!$A$1:$AE$31</definedName>
    <definedName name="aa_5">[3]shp_T_D_drive!$A$1:$AE$31</definedName>
    <definedName name="aa_6">[3]shp_T_D_drive!$A$1:$AE$31</definedName>
    <definedName name="aa_8">[2]shp_T_D_drive!$A$1:$AE$31</definedName>
    <definedName name="aa_9">[2]shp_T_D_drive!$A$1:$AE$31</definedName>
    <definedName name="aaaa" localSheetId="7" hidden="1">#REF!</definedName>
    <definedName name="aaaa" hidden="1">#REF!</definedName>
    <definedName name="ann" hidden="1">{"'Sheet1'!$A$4386:$N$4591"}</definedName>
    <definedName name="AprilMay" hidden="1">{"'Sheet1'!$A$4386:$N$4591"}</definedName>
    <definedName name="as_4">[2]shp_T_D_drive!$A$1:$AE$31</definedName>
    <definedName name="as_5">[3]shp_T_D_drive!$A$1:$AE$31</definedName>
    <definedName name="as_6">[3]shp_T_D_drive!$A$1:$AE$31</definedName>
    <definedName name="as_8">[2]shp_T_D_drive!$A$1:$AE$31</definedName>
    <definedName name="as_9">[2]shp_T_D_drive!$A$1:$AE$31</definedName>
    <definedName name="brh" hidden="1">{"'Sheet1'!$A$4386:$N$4591"}</definedName>
    <definedName name="_xlnm.Database" localSheetId="8">#REF!</definedName>
    <definedName name="_xlnm.Database">#REF!</definedName>
    <definedName name="detail">[2]shp_T_D_drive!$A$1:$AE$31</definedName>
    <definedName name="dfd" hidden="1">{"'Sheet1'!$A$4386:$N$4591"}</definedName>
    <definedName name="DID" hidden="1">{"'Sheet1'!$A$4386:$N$4591"}</definedName>
    <definedName name="DIS" hidden="1">{"'Sheet1'!$A$4386:$N$4591"}</definedName>
    <definedName name="gdl" hidden="1">{"'Sheet1'!$A$4386:$N$4591"}</definedName>
    <definedName name="HT" hidden="1">{"'Sheet1'!$A$4386:$N$4591"}</definedName>
    <definedName name="HTML_CodePage" hidden="1">1252</definedName>
    <definedName name="HTML_Description" hidden="1">""</definedName>
    <definedName name="HTML_Email" hidden="1">""</definedName>
    <definedName name="HTML_Header" hidden="1">"Sheet1"</definedName>
    <definedName name="HTML_LastUpdate" hidden="1">"7/1/03"</definedName>
    <definedName name="HTML_LineAfter" hidden="1">FALSE</definedName>
    <definedName name="HTML_LineBefore" hidden="1">FALSE</definedName>
    <definedName name="HTML_Name" hidden="1">"m.p.raval"</definedName>
    <definedName name="HTML_OBDlg2" hidden="1">TRUE</definedName>
    <definedName name="HTML_OBDlg4" hidden="1">TRUE</definedName>
    <definedName name="HTML_OS" hidden="1">0</definedName>
    <definedName name="HTML_PathFile" hidden="1">"A:\MyHTML.htm"</definedName>
    <definedName name="HTML_Title" hidden="1">"SGSDaily Progress Report Piyaj toDharoi Pipeline"</definedName>
    <definedName name="j" hidden="1">{"'Sheet1'!$A$4386:$N$4591"}</definedName>
    <definedName name="jjj" hidden="1">{"'Sheet1'!$A$4386:$N$4591"}</definedName>
    <definedName name="Meh" hidden="1">{"'Sheet1'!$A$4386:$N$4591"}</definedName>
    <definedName name="MISPP" hidden="1">{"'Sheet1'!$A$4386:$N$4591"}</definedName>
    <definedName name="MMB" hidden="1">'[4]mpmla wise pp0001'!$A$166:$A$172</definedName>
    <definedName name="po" hidden="1">[5]zpF0001!$E$39:$E$78</definedName>
    <definedName name="_xlnm.Print_Area" localSheetId="8">'Meter tesing &amp; defective Q42122'!$B$1:$I$12</definedName>
    <definedName name="_xlnm.Print_Area" localSheetId="0">'SHEET-1'!$A$1:$I$44</definedName>
    <definedName name="_xlnm.Print_Area" localSheetId="2">'SHEET-3'!$A$1:$I$42</definedName>
    <definedName name="_xlnm.Print_Area" localSheetId="3">'SHEET-4'!$A$1:$I$45</definedName>
    <definedName name="_xlnm.Print_Area" localSheetId="4">'SHEET-5'!$A$1:$I$43</definedName>
    <definedName name="_xlnm.Print_Area" localSheetId="5">'SHEET-6'!$A$1:$I$58</definedName>
    <definedName name="_xlnm.Print_Area" localSheetId="6">'SHEET-7'!$A$1:$E$37</definedName>
    <definedName name="_xlnm.Print_Area" localSheetId="7">'T&amp;D'!$B$1:$L$30</definedName>
    <definedName name="q_4">[6]shp_T_D_drive!$A$1:$AE$31</definedName>
    <definedName name="q_5">[5]shp_T_D_drive!$A$1:$AE$31</definedName>
    <definedName name="q_6">[5]shp_T_D_drive!$A$1:$AE$31</definedName>
    <definedName name="q_8">[6]shp_T_D_drive!$A$1:$AE$31</definedName>
    <definedName name="q_9">[6]shp_T_D_drive!$A$1:$AE$31</definedName>
    <definedName name="ss_4">[2]shp_T_D_drive!$A$1:$AE$31</definedName>
    <definedName name="ss_5">[3]shp_T_D_drive!$A$1:$AE$31</definedName>
    <definedName name="ss_6">[3]shp_T_D_drive!$A$1:$AE$31</definedName>
    <definedName name="ss_8">[2]shp_T_D_drive!$A$1:$AE$31</definedName>
    <definedName name="ss_9">[2]shp_T_D_drive!$A$1:$AE$31</definedName>
    <definedName name="t_4">[2]shp_T_D_drive!$A$1:$AE$31</definedName>
    <definedName name="t_5">[3]shp_T_D_drive!$A$1:$AE$31</definedName>
    <definedName name="t_6">[3]shp_T_D_drive!$A$1:$AE$31</definedName>
    <definedName name="t_8">[2]shp_T_D_drive!$A$1:$AE$31</definedName>
    <definedName name="t_9">[2]shp_T_D_drive!$A$1:$AE$31</definedName>
    <definedName name="uyuy" localSheetId="7" hidden="1">#REF!</definedName>
    <definedName name="uyuy" hidden="1">#REF!</definedName>
  </definedNames>
  <calcPr calcId="124519"/>
</workbook>
</file>

<file path=xl/calcChain.xml><?xml version="1.0" encoding="utf-8"?>
<calcChain xmlns="http://schemas.openxmlformats.org/spreadsheetml/2006/main">
  <c r="M45" i="36"/>
  <c r="L45"/>
  <c r="L46" s="1"/>
  <c r="K45"/>
  <c r="K46" s="1"/>
  <c r="J45"/>
  <c r="J46" s="1"/>
  <c r="I45"/>
  <c r="H45"/>
  <c r="H46" s="1"/>
  <c r="G45"/>
  <c r="G46" s="1"/>
  <c r="F45"/>
  <c r="F46" s="1"/>
  <c r="M41"/>
  <c r="L41"/>
  <c r="K41"/>
  <c r="J41"/>
  <c r="I41"/>
  <c r="H41"/>
  <c r="G41"/>
  <c r="F41"/>
  <c r="M37"/>
  <c r="L37"/>
  <c r="K37"/>
  <c r="J37"/>
  <c r="I37"/>
  <c r="H37"/>
  <c r="G37"/>
  <c r="F37"/>
  <c r="M33"/>
  <c r="L33"/>
  <c r="K33"/>
  <c r="J33"/>
  <c r="I33"/>
  <c r="H33"/>
  <c r="G33"/>
  <c r="F33"/>
  <c r="G25"/>
  <c r="F25"/>
  <c r="H25" s="1"/>
  <c r="G24"/>
  <c r="F24"/>
  <c r="H24" s="1"/>
  <c r="G19"/>
  <c r="F19"/>
  <c r="H11"/>
  <c r="F11"/>
  <c r="E11"/>
  <c r="G10"/>
  <c r="I10" s="1"/>
  <c r="G9"/>
  <c r="I9" s="1"/>
  <c r="I11" s="1"/>
  <c r="H7"/>
  <c r="F7"/>
  <c r="G11" l="1"/>
  <c r="K29" i="35" l="1"/>
  <c r="I29"/>
  <c r="H29"/>
  <c r="E29"/>
  <c r="D29"/>
  <c r="K20"/>
  <c r="H20"/>
  <c r="E20"/>
  <c r="D20"/>
  <c r="H13"/>
  <c r="H22" s="1"/>
  <c r="D13"/>
  <c r="D22" s="1"/>
  <c r="K11"/>
  <c r="E11"/>
  <c r="D11"/>
  <c r="E32" i="24" l="1"/>
  <c r="G32"/>
  <c r="F32" l="1"/>
  <c r="F21" i="33"/>
  <c r="F28" i="26"/>
  <c r="F25"/>
  <c r="F22"/>
  <c r="F21"/>
  <c r="F20"/>
  <c r="F19"/>
  <c r="F18"/>
  <c r="F17"/>
  <c r="F32"/>
  <c r="F27"/>
  <c r="F26"/>
  <c r="F16"/>
  <c r="F15"/>
  <c r="F23" i="33"/>
  <c r="F19"/>
  <c r="F18"/>
  <c r="F14"/>
  <c r="F38" i="32"/>
  <c r="F36"/>
  <c r="F34"/>
  <c r="F33"/>
  <c r="F29"/>
  <c r="F27" i="24"/>
  <c r="F17"/>
  <c r="C19" i="31"/>
  <c r="C11"/>
  <c r="D38" i="32"/>
  <c r="D36"/>
  <c r="D34"/>
  <c r="D33"/>
  <c r="D29"/>
  <c r="D23" i="33"/>
  <c r="D21"/>
  <c r="D19"/>
  <c r="D18"/>
  <c r="D14"/>
  <c r="D32" i="26"/>
  <c r="D28"/>
  <c r="D27"/>
  <c r="D25"/>
  <c r="D22"/>
  <c r="D21"/>
  <c r="D20"/>
  <c r="D19"/>
  <c r="D18"/>
  <c r="D17"/>
  <c r="D16"/>
  <c r="D15"/>
  <c r="D27" i="24" l="1"/>
  <c r="D17"/>
  <c r="C12" i="31"/>
  <c r="D32" l="1"/>
  <c r="D12"/>
  <c r="G32" i="30" l="1"/>
  <c r="F32"/>
  <c r="G17"/>
  <c r="F17"/>
  <c r="G23" i="32"/>
  <c r="F23"/>
  <c r="G21"/>
  <c r="G19"/>
  <c r="G18"/>
  <c r="G17"/>
  <c r="F17"/>
  <c r="G14"/>
  <c r="G37" l="1"/>
  <c r="G39" s="1"/>
  <c r="G32"/>
  <c r="G30"/>
  <c r="F32"/>
  <c r="F22"/>
  <c r="F24" s="1"/>
  <c r="G24" s="1"/>
  <c r="G22" i="33"/>
  <c r="G24" s="1"/>
  <c r="F22"/>
  <c r="F24" s="1"/>
  <c r="G17"/>
  <c r="F17"/>
  <c r="F25" i="32" l="1"/>
  <c r="G25" s="1"/>
  <c r="G22"/>
  <c r="F37"/>
  <c r="F39" s="1"/>
  <c r="E26" i="31"/>
  <c r="G16" i="26"/>
  <c r="G40" i="32" l="1"/>
  <c r="F25" i="33"/>
  <c r="F25" i="24"/>
  <c r="F26" s="1"/>
  <c r="F28" s="1"/>
  <c r="F29" s="1"/>
  <c r="G22"/>
  <c r="G25" s="1"/>
  <c r="G26" s="1"/>
  <c r="G28" s="1"/>
  <c r="G29" s="1"/>
  <c r="F22"/>
  <c r="D33" i="31"/>
  <c r="D15"/>
  <c r="G25" i="33" l="1"/>
  <c r="D35" i="31"/>
  <c r="F40" i="32"/>
  <c r="E25" i="26" l="1"/>
  <c r="G25"/>
  <c r="G21"/>
  <c r="I25" l="1"/>
  <c r="F38" i="33"/>
  <c r="F29"/>
  <c r="H25" i="26" l="1"/>
  <c r="G17" l="1"/>
  <c r="G18"/>
  <c r="G19"/>
  <c r="G20"/>
  <c r="G53" i="30" l="1"/>
  <c r="G51"/>
  <c r="G49"/>
  <c r="G48"/>
  <c r="G44"/>
  <c r="D53"/>
  <c r="D51"/>
  <c r="D49"/>
  <c r="D48"/>
  <c r="E49"/>
  <c r="E48"/>
  <c r="E53"/>
  <c r="E51"/>
  <c r="G28" i="26" l="1"/>
  <c r="G27"/>
  <c r="G22"/>
  <c r="G38" i="33"/>
  <c r="G36"/>
  <c r="G34"/>
  <c r="G33"/>
  <c r="E16" i="26"/>
  <c r="E28" l="1"/>
  <c r="E27"/>
  <c r="E26"/>
  <c r="D26" s="1"/>
  <c r="E22"/>
  <c r="E21"/>
  <c r="E20"/>
  <c r="E19"/>
  <c r="E18"/>
  <c r="E17"/>
  <c r="E22" i="33"/>
  <c r="E24" s="1"/>
  <c r="D29" i="26" l="1"/>
  <c r="E29"/>
  <c r="H22"/>
  <c r="I22"/>
  <c r="F34"/>
  <c r="G29" i="33"/>
  <c r="G31"/>
  <c r="F33"/>
  <c r="F34"/>
  <c r="F36"/>
  <c r="G37" i="24"/>
  <c r="F37"/>
  <c r="G54" i="30" l="1"/>
  <c r="G52"/>
  <c r="G39" i="33"/>
  <c r="G37"/>
  <c r="F23" i="26"/>
  <c r="F30" s="1"/>
  <c r="G23"/>
  <c r="G30" s="1"/>
  <c r="F32" i="33"/>
  <c r="G47" i="30"/>
  <c r="F37" i="33" l="1"/>
  <c r="F39"/>
  <c r="G55" i="30"/>
  <c r="G32" i="33"/>
  <c r="F34" i="24" l="1"/>
  <c r="F38" s="1"/>
  <c r="G34"/>
  <c r="G38" s="1"/>
  <c r="G40" i="33"/>
  <c r="G26" i="26" l="1"/>
  <c r="D25" i="24"/>
  <c r="F29" i="26" l="1"/>
  <c r="H29" s="1"/>
  <c r="G29"/>
  <c r="I29" s="1"/>
  <c r="D26" i="24"/>
  <c r="F14" i="25"/>
  <c r="F14" i="26" s="1"/>
  <c r="F13" i="32" s="1"/>
  <c r="F13" i="33" s="1"/>
  <c r="F13" i="30" s="1"/>
  <c r="D14" i="25"/>
  <c r="D14" i="26" s="1"/>
  <c r="D13" i="32" s="1"/>
  <c r="D13" i="33" s="1"/>
  <c r="D13" i="30" s="1"/>
  <c r="F21" i="25" l="1"/>
  <c r="G21"/>
  <c r="G16"/>
  <c r="F16"/>
  <c r="E34" i="26" l="1"/>
  <c r="E33"/>
  <c r="E30" i="32" l="1"/>
  <c r="D28" i="24"/>
  <c r="D29" s="1"/>
  <c r="E22"/>
  <c r="D22"/>
  <c r="D16" i="25" s="1"/>
  <c r="H15" i="32"/>
  <c r="E16" i="25" l="1"/>
  <c r="E25" i="24"/>
  <c r="E26" s="1"/>
  <c r="E28" s="1"/>
  <c r="E29" s="1"/>
  <c r="D23" i="26"/>
  <c r="D21" i="25" s="1"/>
  <c r="E23" i="26" l="1"/>
  <c r="E21" i="25" s="1"/>
  <c r="P32" i="33"/>
  <c r="E11" i="31"/>
  <c r="P30" i="33"/>
  <c r="P31"/>
  <c r="P33"/>
  <c r="P34"/>
  <c r="P35"/>
  <c r="P36"/>
  <c r="P38"/>
  <c r="P29"/>
  <c r="Q29"/>
  <c r="G24" i="25"/>
  <c r="P37" i="33" l="1"/>
  <c r="F24" i="25"/>
  <c r="E17" i="33"/>
  <c r="D22"/>
  <c r="E37" i="32"/>
  <c r="E32"/>
  <c r="D32"/>
  <c r="E30" i="26"/>
  <c r="H21"/>
  <c r="D44" i="30"/>
  <c r="E44"/>
  <c r="I21" i="26"/>
  <c r="I29" i="24"/>
  <c r="E39" i="32" l="1"/>
  <c r="E54" i="30" s="1"/>
  <c r="E52"/>
  <c r="E47"/>
  <c r="P39" i="33"/>
  <c r="E32"/>
  <c r="E24" i="25" s="1"/>
  <c r="P40" i="33"/>
  <c r="E25"/>
  <c r="D32" i="24" s="1"/>
  <c r="H22" i="30"/>
  <c r="H23"/>
  <c r="H24"/>
  <c r="H25"/>
  <c r="H21"/>
  <c r="H15"/>
  <c r="H17"/>
  <c r="H18"/>
  <c r="C33" i="31"/>
  <c r="C15"/>
  <c r="H29" i="24"/>
  <c r="F44" i="30"/>
  <c r="E40" i="32" l="1"/>
  <c r="E55" i="30" s="1"/>
  <c r="C35" i="31"/>
  <c r="E35" s="1"/>
  <c r="E46" i="30"/>
  <c r="D38" i="33"/>
  <c r="D36"/>
  <c r="D34"/>
  <c r="D33"/>
  <c r="D29"/>
  <c r="E34"/>
  <c r="E33"/>
  <c r="D17"/>
  <c r="E29"/>
  <c r="E36"/>
  <c r="D37" i="32"/>
  <c r="D52" i="30" s="1"/>
  <c r="D47"/>
  <c r="F53"/>
  <c r="F51"/>
  <c r="F49"/>
  <c r="F47"/>
  <c r="F48"/>
  <c r="F25" i="25"/>
  <c r="F40" i="33"/>
  <c r="F26" i="25" s="1"/>
  <c r="E38" i="33" l="1"/>
  <c r="D39" i="32"/>
  <c r="E37" i="33"/>
  <c r="D32"/>
  <c r="D24" i="25" s="1"/>
  <c r="F54" i="30"/>
  <c r="F52"/>
  <c r="G25" i="25"/>
  <c r="G26"/>
  <c r="D54" i="30" l="1"/>
  <c r="F55"/>
  <c r="D40" i="32"/>
  <c r="E39" i="33"/>
  <c r="E25" i="25" s="1"/>
  <c r="D55" i="30" l="1"/>
  <c r="I55"/>
  <c r="E40" i="33"/>
  <c r="E26" i="25" s="1"/>
  <c r="H58" i="26"/>
  <c r="E67" i="32" l="1"/>
  <c r="D67"/>
  <c r="F66"/>
  <c r="F65"/>
  <c r="F67" l="1"/>
  <c r="D68" i="30" l="1"/>
  <c r="G58" i="26" l="1"/>
  <c r="F58"/>
  <c r="E58"/>
  <c r="D57"/>
  <c r="I28" l="1"/>
  <c r="I27"/>
  <c r="E25" i="31"/>
  <c r="I19" i="26"/>
  <c r="H18"/>
  <c r="E29" i="31"/>
  <c r="E23"/>
  <c r="N30" i="33"/>
  <c r="O30"/>
  <c r="N31"/>
  <c r="O31"/>
  <c r="N33"/>
  <c r="O33"/>
  <c r="N34"/>
  <c r="O34"/>
  <c r="N35"/>
  <c r="O35"/>
  <c r="N36"/>
  <c r="O36"/>
  <c r="N38"/>
  <c r="O38"/>
  <c r="O29"/>
  <c r="N29"/>
  <c r="O37"/>
  <c r="H21" i="25"/>
  <c r="H17" i="26"/>
  <c r="I28" i="24"/>
  <c r="H22"/>
  <c r="H25"/>
  <c r="H26"/>
  <c r="H27"/>
  <c r="H28"/>
  <c r="I38" i="33"/>
  <c r="H38"/>
  <c r="I36"/>
  <c r="H36"/>
  <c r="I34"/>
  <c r="H34"/>
  <c r="I33"/>
  <c r="H33"/>
  <c r="I30"/>
  <c r="H30"/>
  <c r="I29"/>
  <c r="H29"/>
  <c r="I23"/>
  <c r="H23"/>
  <c r="I21"/>
  <c r="H21"/>
  <c r="I19"/>
  <c r="H19"/>
  <c r="I18"/>
  <c r="H18"/>
  <c r="I15"/>
  <c r="H15"/>
  <c r="I14"/>
  <c r="H14"/>
  <c r="D67" i="26"/>
  <c r="E59" i="32"/>
  <c r="I27" i="24"/>
  <c r="H28" i="26"/>
  <c r="I32"/>
  <c r="H32"/>
  <c r="I21" i="25"/>
  <c r="I26"/>
  <c r="I25"/>
  <c r="I24"/>
  <c r="H24"/>
  <c r="I16"/>
  <c r="H16"/>
  <c r="D59" i="32"/>
  <c r="I17" i="24"/>
  <c r="H17"/>
  <c r="H27" i="26"/>
  <c r="E14" i="31"/>
  <c r="E13"/>
  <c r="E12"/>
  <c r="I25" i="24"/>
  <c r="E19" i="31"/>
  <c r="H15" i="26"/>
  <c r="I15"/>
  <c r="H14" i="30"/>
  <c r="I14"/>
  <c r="I15"/>
  <c r="I17"/>
  <c r="I18"/>
  <c r="H19"/>
  <c r="I19"/>
  <c r="I21"/>
  <c r="I22"/>
  <c r="I23"/>
  <c r="I24"/>
  <c r="I25"/>
  <c r="H29"/>
  <c r="I29"/>
  <c r="H30"/>
  <c r="I30"/>
  <c r="H32"/>
  <c r="I32"/>
  <c r="H33"/>
  <c r="I33"/>
  <c r="H34"/>
  <c r="I34"/>
  <c r="H36"/>
  <c r="I36"/>
  <c r="H37"/>
  <c r="I37"/>
  <c r="H38"/>
  <c r="I38"/>
  <c r="H39"/>
  <c r="I39"/>
  <c r="H40"/>
  <c r="I40"/>
  <c r="H44"/>
  <c r="I44"/>
  <c r="H45"/>
  <c r="I45"/>
  <c r="H48"/>
  <c r="I48"/>
  <c r="H49"/>
  <c r="I49"/>
  <c r="H51"/>
  <c r="I51"/>
  <c r="H53"/>
  <c r="I53"/>
  <c r="H14" i="32"/>
  <c r="I14"/>
  <c r="I15"/>
  <c r="H18"/>
  <c r="I18"/>
  <c r="H19"/>
  <c r="I19"/>
  <c r="H21"/>
  <c r="I21"/>
  <c r="H23"/>
  <c r="I23"/>
  <c r="H29"/>
  <c r="I29"/>
  <c r="H30"/>
  <c r="I30"/>
  <c r="H33"/>
  <c r="I33"/>
  <c r="H34"/>
  <c r="I34"/>
  <c r="H36"/>
  <c r="I36"/>
  <c r="I38"/>
  <c r="I22" i="24"/>
  <c r="H32" i="32"/>
  <c r="I22"/>
  <c r="I17"/>
  <c r="H22"/>
  <c r="H37"/>
  <c r="I37"/>
  <c r="H38"/>
  <c r="H17"/>
  <c r="I17" i="33"/>
  <c r="H17"/>
  <c r="I22"/>
  <c r="I24" l="1"/>
  <c r="I25"/>
  <c r="I25" i="32"/>
  <c r="I24"/>
  <c r="H24"/>
  <c r="H25"/>
  <c r="H19" i="26"/>
  <c r="I39" i="32"/>
  <c r="O39" i="33"/>
  <c r="N32"/>
  <c r="E28" i="31"/>
  <c r="I20" i="26"/>
  <c r="I18"/>
  <c r="I16"/>
  <c r="E24" i="31"/>
  <c r="H16" i="26"/>
  <c r="H20"/>
  <c r="I17"/>
  <c r="I26" i="24"/>
  <c r="I30" i="26" l="1"/>
  <c r="I32" i="33"/>
  <c r="H32"/>
  <c r="I52" i="30"/>
  <c r="H52"/>
  <c r="I47"/>
  <c r="H47"/>
  <c r="I37" i="33"/>
  <c r="I32" i="32"/>
  <c r="O32" i="33"/>
  <c r="H39" i="32"/>
  <c r="I23" i="26"/>
  <c r="I39" i="33" l="1"/>
  <c r="I54" i="30"/>
  <c r="H54"/>
  <c r="O40" i="33"/>
  <c r="I40" i="32"/>
  <c r="F58"/>
  <c r="F57"/>
  <c r="H40"/>
  <c r="E33" i="31"/>
  <c r="H55" i="30" l="1"/>
  <c r="I40" i="33"/>
  <c r="E15" i="31" l="1"/>
  <c r="I26" i="26"/>
  <c r="N37" i="33"/>
  <c r="H22"/>
  <c r="D37"/>
  <c r="H37" s="1"/>
  <c r="D24"/>
  <c r="H24" s="1"/>
  <c r="D39" l="1"/>
  <c r="N39"/>
  <c r="D25"/>
  <c r="H26" i="26" l="1"/>
  <c r="H39" i="33"/>
  <c r="D25" i="25"/>
  <c r="H25" s="1"/>
  <c r="H25" i="33"/>
  <c r="D40"/>
  <c r="N40"/>
  <c r="H23" i="26"/>
  <c r="D30"/>
  <c r="H30" s="1"/>
  <c r="D34" i="24" l="1"/>
  <c r="H32"/>
  <c r="H40" i="33"/>
  <c r="D26" i="25"/>
  <c r="H26" s="1"/>
  <c r="H35" i="24" l="1"/>
  <c r="H34"/>
  <c r="E34"/>
  <c r="I32"/>
  <c r="D37" l="1"/>
  <c r="H37" s="1"/>
  <c r="E37"/>
  <c r="I37" s="1"/>
  <c r="I35"/>
  <c r="I34"/>
  <c r="D38" l="1"/>
  <c r="H38" s="1"/>
  <c r="E38"/>
  <c r="I38" s="1"/>
</calcChain>
</file>

<file path=xl/sharedStrings.xml><?xml version="1.0" encoding="utf-8"?>
<sst xmlns="http://schemas.openxmlformats.org/spreadsheetml/2006/main" count="714" uniqueCount="329">
  <si>
    <t>MADHYA GUJARAT VIJ COMPANY LIMITED</t>
  </si>
  <si>
    <t>Industrial</t>
  </si>
  <si>
    <t>Residential</t>
  </si>
  <si>
    <t>Commercial</t>
  </si>
  <si>
    <t>H. T.</t>
  </si>
  <si>
    <t>Agricultural</t>
  </si>
  <si>
    <t>[B]</t>
  </si>
  <si>
    <t>Liecence</t>
  </si>
  <si>
    <t>Total H.T. + E.H.T.</t>
  </si>
  <si>
    <t>Other [Specify]</t>
  </si>
  <si>
    <t>Total L.T. Excluding Agricultural</t>
  </si>
  <si>
    <t>Total L. T. Including Agricultural</t>
  </si>
  <si>
    <t>Total H.T. + E.H.T. + L. T.</t>
  </si>
  <si>
    <t>Rs. In Crore</t>
  </si>
  <si>
    <t>Quarterly</t>
  </si>
  <si>
    <t>Cummulative</t>
  </si>
  <si>
    <t>Current Year</t>
  </si>
  <si>
    <t>% Change</t>
  </si>
  <si>
    <t>SALES REALISATION</t>
  </si>
  <si>
    <t>SALES REVENUE AMOUNT AND PAISE / UNIT</t>
  </si>
  <si>
    <t>III - SALES AND REVENUE DATA</t>
  </si>
  <si>
    <t>Paise / kwh</t>
  </si>
  <si>
    <t>[ 5 ]</t>
  </si>
  <si>
    <t>M.KWH</t>
  </si>
  <si>
    <t>NOS. OF CONSUMERS AND UNIT SOLD</t>
  </si>
  <si>
    <t>Employees Cost</t>
  </si>
  <si>
    <t>Interest</t>
  </si>
  <si>
    <t>Repairs and Maintenance</t>
  </si>
  <si>
    <t>Depreciation</t>
  </si>
  <si>
    <t>Admin. And General Expenditure</t>
  </si>
  <si>
    <t>Total Cost Excluding Profit / Return</t>
  </si>
  <si>
    <t>Capital Expenditure</t>
  </si>
  <si>
    <t>New Long Term Borrowings</t>
  </si>
  <si>
    <t>Agricultural Subsidy Received</t>
  </si>
  <si>
    <t>%</t>
  </si>
  <si>
    <t>Paise / KWH</t>
  </si>
  <si>
    <t>UNIT SOLD PER CONSUMER</t>
  </si>
  <si>
    <t>KWH</t>
  </si>
  <si>
    <t>[A]</t>
  </si>
  <si>
    <t>SALES REALISATION - FIXED CHARGES</t>
  </si>
  <si>
    <t>SALES REVENUE FIXED AND ENERGY CHARGE PAISE / UNIT AND UNITS SOLD PER CONSUMER</t>
  </si>
  <si>
    <t>FINANCIAL DATA - 3</t>
  </si>
  <si>
    <t>I - KEY PARAMETERS</t>
  </si>
  <si>
    <t>[ 3 ]</t>
  </si>
  <si>
    <t>NOS. OF UNITS SOLD</t>
  </si>
  <si>
    <t>[C]</t>
  </si>
  <si>
    <t>[D]</t>
  </si>
  <si>
    <t>POWER PURCHASE</t>
  </si>
  <si>
    <t>Total Purchase of Power</t>
  </si>
  <si>
    <t>ENERGY BALANCE SHEET</t>
  </si>
  <si>
    <t>Total Generation + Purchase of Power</t>
  </si>
  <si>
    <t>Units Sent Out</t>
  </si>
  <si>
    <t>T &amp; D Loss [4] / [2] * 100</t>
  </si>
  <si>
    <t>SALES, BILLING AND REALISATION</t>
  </si>
  <si>
    <t>Billed [Metered + Unmetered] with E. D.</t>
  </si>
  <si>
    <t>Billed - Theft Assessment</t>
  </si>
  <si>
    <t>Total Billed [1 + 2]</t>
  </si>
  <si>
    <t>Amount realised [Metered + Unmetered] with E. D.</t>
  </si>
  <si>
    <t>Amount realised against Theft of Energy</t>
  </si>
  <si>
    <t>Total Amount realised [4 + 5]</t>
  </si>
  <si>
    <t>Amount realised as % of amount billed [6] / [3]</t>
  </si>
  <si>
    <t>MUS</t>
  </si>
  <si>
    <t>Rs. In Crores</t>
  </si>
  <si>
    <t>I</t>
  </si>
  <si>
    <t>II</t>
  </si>
  <si>
    <t>III</t>
  </si>
  <si>
    <t>Previous Year</t>
  </si>
  <si>
    <t>POWER SUPPLY POSITION</t>
  </si>
  <si>
    <t>[ 1 ]</t>
  </si>
  <si>
    <t>Cost at Bus Bar</t>
  </si>
  <si>
    <t>Costo of Supply at EHT [at 66 KV]</t>
  </si>
  <si>
    <t>Cost of Supply at LT [at 11 KV]</t>
  </si>
  <si>
    <t>Cost of Supply at HT [at 11 KV]</t>
  </si>
  <si>
    <t>L. T.</t>
  </si>
  <si>
    <t>Average Sales Realisation</t>
  </si>
  <si>
    <t>Special Observation on above points</t>
  </si>
  <si>
    <t>COST OF SUPPLY</t>
  </si>
  <si>
    <t>Rs. /KWH</t>
  </si>
  <si>
    <t>COST OF SUPPLY - 2</t>
  </si>
  <si>
    <t>II - KEY PARAMETERS</t>
  </si>
  <si>
    <t>[ 2 ]</t>
  </si>
  <si>
    <t>Nos.</t>
  </si>
  <si>
    <t>Railway</t>
  </si>
  <si>
    <t>Previous Years</t>
  </si>
  <si>
    <t>REVENUE</t>
  </si>
  <si>
    <t>Sale of Electricity</t>
  </si>
  <si>
    <t>Misc. Revenue Recovery</t>
  </si>
  <si>
    <t>Other Income</t>
  </si>
  <si>
    <t>EXPENSES</t>
  </si>
  <si>
    <t>Operating Expenses</t>
  </si>
  <si>
    <t>Fixed</t>
  </si>
  <si>
    <t>Variable</t>
  </si>
  <si>
    <t>Fuel Expense</t>
  </si>
  <si>
    <t>Employee Cost</t>
  </si>
  <si>
    <t>Administrative and General Expenses</t>
  </si>
  <si>
    <t>Other Operating Costs</t>
  </si>
  <si>
    <t>Other Expenses [Prior Period]</t>
  </si>
  <si>
    <t>Less : Expenses Capitalized</t>
  </si>
  <si>
    <t>Surplus [deficit] excluding rate of return</t>
  </si>
  <si>
    <t>IV - FINANCIAL DATA</t>
  </si>
  <si>
    <t>NOS. OF CONSUMERS [WITHOUT PDC]</t>
  </si>
  <si>
    <t>Railways</t>
  </si>
  <si>
    <t>Agricultural [Metered + Unmetered]</t>
  </si>
  <si>
    <t>SALES REALISATION - ENERGY CHARGES</t>
  </si>
  <si>
    <t>Total H.T. + E.H.T. + L. T. [WITHOUT P.D.C.]</t>
  </si>
  <si>
    <t>Current Year [Provisional]</t>
  </si>
  <si>
    <t>SALES REALISATION WITHOUT E. D.</t>
  </si>
  <si>
    <t>Sales Amount [Without E. D.] [Incl. T.C/FCA]</t>
  </si>
  <si>
    <t>Agricultural [Including Tariff Comp.]/[FPPPA]</t>
  </si>
  <si>
    <t>Power Purchase Costs net of trading Credit</t>
  </si>
  <si>
    <t>Purchase from GUVNL [Net of Trading Credit &amp; UI]</t>
  </si>
  <si>
    <t>Metered + Estimated Unmetered &amp; Unbilled Sales</t>
  </si>
  <si>
    <t>Purchase from Central Sector</t>
  </si>
  <si>
    <t>[a] Share</t>
  </si>
  <si>
    <t>[b] Actual Purchase</t>
  </si>
  <si>
    <t>T&amp;D Losses [2-3]</t>
  </si>
  <si>
    <t>6a</t>
  </si>
  <si>
    <t>Expenses Capitalized</t>
  </si>
  <si>
    <t>Cost of Power Purchase as % of Total Cost [1]/[8]</t>
  </si>
  <si>
    <t>Others [Water Works / Public Lighting]</t>
  </si>
  <si>
    <t>Total Income</t>
  </si>
  <si>
    <t>SALES REVENUE BILLED :</t>
  </si>
  <si>
    <t>Purchase From CPPS/Wind Farms/Solar</t>
  </si>
  <si>
    <t>Average Cost of Purchase of Power [Net]</t>
  </si>
  <si>
    <t>Other Debits &amp; Prior Period Adjustment</t>
  </si>
  <si>
    <t>Cost of Power Purchase [Net]</t>
  </si>
  <si>
    <t>Government Subsidy  FOR AG.</t>
  </si>
  <si>
    <t>NOTE  : Power Purchase Cost is based on provisional bills received from GUVNL.</t>
  </si>
  <si>
    <t xml:space="preserve">                  </t>
  </si>
  <si>
    <t>SR</t>
  </si>
  <si>
    <t>CATEGORY</t>
  </si>
  <si>
    <t>BOARD CHARGE</t>
  </si>
  <si>
    <t>B. CHG(THEFT)</t>
  </si>
  <si>
    <t>MIN CHG DIS.</t>
  </si>
  <si>
    <t>ELE. DUTY</t>
  </si>
  <si>
    <t>TAX ON SALE</t>
  </si>
  <si>
    <t>RENT</t>
  </si>
  <si>
    <t>SUNDRY CHG.</t>
  </si>
  <si>
    <t>D. P. C.</t>
  </si>
  <si>
    <t>ASSESSMENT</t>
  </si>
  <si>
    <t>=========================================================================================================================================</t>
  </si>
  <si>
    <t>General Lighting Purpose</t>
  </si>
  <si>
    <t>Manufacturing &amp; Service Industries</t>
  </si>
  <si>
    <t>TEMP</t>
  </si>
  <si>
    <t>TOTAL</t>
  </si>
  <si>
    <t>Water Works</t>
  </si>
  <si>
    <t>Street Light</t>
  </si>
  <si>
    <t>PDC</t>
  </si>
  <si>
    <t>UNCONNECTED</t>
  </si>
  <si>
    <t>NON-CONS</t>
  </si>
  <si>
    <t>TOT(NORMAL)</t>
  </si>
  <si>
    <t>TOT(PCD+UC)</t>
  </si>
  <si>
    <t>TOT(TEMP+NON)</t>
  </si>
  <si>
    <t>GRAND TOTAL</t>
  </si>
  <si>
    <r>
      <t xml:space="preserve">BREAK-UP OF BOARD CHARGES FROM </t>
    </r>
    <r>
      <rPr>
        <sz val="12"/>
        <color theme="1"/>
        <rFont val="Courier New"/>
        <family val="3"/>
      </rPr>
      <t>Apr</t>
    </r>
    <r>
      <rPr>
        <b/>
        <sz val="12"/>
        <color theme="1"/>
        <rFont val="Courier New"/>
        <family val="3"/>
      </rPr>
      <t>-</t>
    </r>
    <r>
      <rPr>
        <sz val="12"/>
        <color theme="1"/>
        <rFont val="Courier New"/>
        <family val="3"/>
      </rPr>
      <t xml:space="preserve">2014 </t>
    </r>
    <r>
      <rPr>
        <b/>
        <sz val="12"/>
        <color theme="1"/>
        <rFont val="Courier New"/>
        <family val="3"/>
      </rPr>
      <t xml:space="preserve">TO </t>
    </r>
    <r>
      <rPr>
        <sz val="12"/>
        <color theme="1"/>
        <rFont val="Courier New"/>
        <family val="3"/>
      </rPr>
      <t>Jun</t>
    </r>
    <r>
      <rPr>
        <b/>
        <sz val="12"/>
        <color theme="1"/>
        <rFont val="Courier New"/>
        <family val="3"/>
      </rPr>
      <t>-</t>
    </r>
    <r>
      <rPr>
        <sz val="12"/>
        <color theme="1"/>
        <rFont val="Courier New"/>
        <family val="3"/>
      </rPr>
      <t>2014</t>
    </r>
  </si>
  <si>
    <t>CONSUMERS</t>
  </si>
  <si>
    <t>UNITS BILLED</t>
  </si>
  <si>
    <t>FIXED-CHRG</t>
  </si>
  <si>
    <t>ENEG-CHRG</t>
  </si>
  <si>
    <t>FUEL-COST</t>
  </si>
  <si>
    <t>ANNUAL-CHG</t>
  </si>
  <si>
    <t xml:space="preserve">PRO-BILL </t>
  </si>
  <si>
    <t>DEBIT-ADJ</t>
  </si>
  <si>
    <t>BOARD-CHG</t>
  </si>
  <si>
    <t>TOT(PDC+UN)</t>
  </si>
  <si>
    <r>
      <t xml:space="preserve">LT C. G. L. FROM </t>
    </r>
    <r>
      <rPr>
        <sz val="10"/>
        <rFont val="Arial"/>
        <family val="2"/>
      </rPr>
      <t>Apr</t>
    </r>
    <r>
      <rPr>
        <b/>
        <sz val="11"/>
        <color theme="1"/>
        <rFont val="Calibri"/>
        <family val="2"/>
        <scheme val="minor"/>
      </rPr>
      <t>-</t>
    </r>
    <r>
      <rPr>
        <sz val="10"/>
        <rFont val="Arial"/>
        <family val="2"/>
      </rPr>
      <t xml:space="preserve">2014 </t>
    </r>
    <r>
      <rPr>
        <b/>
        <sz val="11"/>
        <color theme="1"/>
        <rFont val="Calibri"/>
        <family val="2"/>
        <scheme val="minor"/>
      </rPr>
      <t xml:space="preserve">TO </t>
    </r>
    <r>
      <rPr>
        <sz val="10"/>
        <rFont val="Arial"/>
        <family val="2"/>
      </rPr>
      <t>Jun</t>
    </r>
    <r>
      <rPr>
        <b/>
        <sz val="11"/>
        <color theme="1"/>
        <rFont val="Calibri"/>
        <family val="2"/>
        <scheme val="minor"/>
      </rPr>
      <t>-</t>
    </r>
    <r>
      <rPr>
        <sz val="10"/>
        <rFont val="Arial"/>
        <family val="2"/>
      </rPr>
      <t>2014</t>
    </r>
  </si>
  <si>
    <r>
      <t xml:space="preserve">LAST MONTH END DATE : </t>
    </r>
    <r>
      <rPr>
        <sz val="12"/>
        <color theme="1"/>
        <rFont val="Courier New"/>
        <family val="3"/>
      </rPr>
      <t>30-06-2014</t>
    </r>
  </si>
  <si>
    <r>
      <t xml:space="preserve">PERIOD: </t>
    </r>
    <r>
      <rPr>
        <sz val="12"/>
        <color theme="1"/>
        <rFont val="Courier New"/>
        <family val="3"/>
      </rPr>
      <t>Apr</t>
    </r>
    <r>
      <rPr>
        <b/>
        <sz val="12"/>
        <color theme="1"/>
        <rFont val="Courier New"/>
        <family val="3"/>
      </rPr>
      <t>-</t>
    </r>
    <r>
      <rPr>
        <sz val="12"/>
        <color theme="1"/>
        <rFont val="Courier New"/>
        <family val="3"/>
      </rPr>
      <t xml:space="preserve">2014 </t>
    </r>
    <r>
      <rPr>
        <b/>
        <sz val="12"/>
        <color theme="1"/>
        <rFont val="Courier New"/>
        <family val="3"/>
      </rPr>
      <t xml:space="preserve">TO </t>
    </r>
    <r>
      <rPr>
        <sz val="12"/>
        <color theme="1"/>
        <rFont val="Courier New"/>
        <family val="3"/>
      </rPr>
      <t>Jun</t>
    </r>
    <r>
      <rPr>
        <b/>
        <sz val="12"/>
        <color theme="1"/>
        <rFont val="Courier New"/>
        <family val="3"/>
      </rPr>
      <t>-</t>
    </r>
    <r>
      <rPr>
        <sz val="12"/>
        <color theme="1"/>
        <rFont val="Courier New"/>
        <family val="3"/>
      </rPr>
      <t>2014</t>
    </r>
  </si>
  <si>
    <r>
      <t xml:space="preserve">PROCESSED ON: </t>
    </r>
    <r>
      <rPr>
        <sz val="12"/>
        <color theme="1"/>
        <rFont val="Courier New"/>
        <family val="3"/>
      </rPr>
      <t>18-Dec-2014</t>
    </r>
  </si>
  <si>
    <r>
      <t xml:space="preserve">COM: </t>
    </r>
    <r>
      <rPr>
        <sz val="12"/>
        <color theme="1"/>
        <rFont val="Courier New"/>
        <family val="3"/>
      </rPr>
      <t>2 MGVCL</t>
    </r>
  </si>
  <si>
    <r>
      <t xml:space="preserve">CIR: </t>
    </r>
    <r>
      <rPr>
        <sz val="12"/>
        <color theme="1"/>
        <rFont val="Courier New"/>
        <family val="3"/>
      </rPr>
      <t>All</t>
    </r>
  </si>
  <si>
    <r>
      <t xml:space="preserve">DIV: </t>
    </r>
    <r>
      <rPr>
        <sz val="12"/>
        <color theme="1"/>
        <rFont val="Courier New"/>
        <family val="3"/>
      </rPr>
      <t>All</t>
    </r>
  </si>
  <si>
    <r>
      <t xml:space="preserve">SUB: </t>
    </r>
    <r>
      <rPr>
        <sz val="12"/>
        <color theme="1"/>
        <rFont val="Courier New"/>
        <family val="3"/>
      </rPr>
      <t>All</t>
    </r>
  </si>
  <si>
    <t>OPEN. BAL</t>
  </si>
  <si>
    <t>COLLECTIONS</t>
  </si>
  <si>
    <t>CREDIT- ADJ</t>
  </si>
  <si>
    <t>TANS-FROM</t>
  </si>
  <si>
    <t>TANS-TO</t>
  </si>
  <si>
    <t>CL. BALANCE</t>
  </si>
  <si>
    <t>UNPOSTED</t>
  </si>
  <si>
    <t>TOT(NOR+UNPOST)</t>
  </si>
  <si>
    <r>
      <t xml:space="preserve">CREDIT ADJUSTMENT ( LT ) FOR : </t>
    </r>
    <r>
      <rPr>
        <sz val="10"/>
        <rFont val="Arial"/>
        <family val="2"/>
      </rPr>
      <t>Apr</t>
    </r>
    <r>
      <rPr>
        <b/>
        <sz val="11"/>
        <color theme="1"/>
        <rFont val="Calibri"/>
        <family val="2"/>
        <scheme val="minor"/>
      </rPr>
      <t>-</t>
    </r>
    <r>
      <rPr>
        <sz val="10"/>
        <rFont val="Arial"/>
        <family val="2"/>
      </rPr>
      <t xml:space="preserve">2014 </t>
    </r>
    <r>
      <rPr>
        <b/>
        <sz val="11"/>
        <color theme="1"/>
        <rFont val="Calibri"/>
        <family val="2"/>
        <scheme val="minor"/>
      </rPr>
      <t xml:space="preserve">TO </t>
    </r>
    <r>
      <rPr>
        <sz val="10"/>
        <rFont val="Arial"/>
        <family val="2"/>
      </rPr>
      <t>Jun</t>
    </r>
    <r>
      <rPr>
        <b/>
        <sz val="11"/>
        <color theme="1"/>
        <rFont val="Calibri"/>
        <family val="2"/>
        <scheme val="minor"/>
      </rPr>
      <t>-</t>
    </r>
    <r>
      <rPr>
        <sz val="10"/>
        <rFont val="Arial"/>
        <family val="2"/>
      </rPr>
      <t>2014</t>
    </r>
  </si>
  <si>
    <t>CREDIT ADJ.</t>
  </si>
  <si>
    <t xml:space="preserve">NON-CASH </t>
  </si>
  <si>
    <t>PAY-FROM</t>
  </si>
  <si>
    <t>PROVISIONAL</t>
  </si>
  <si>
    <t>&lt;-----</t>
  </si>
  <si>
    <t>RELIEF</t>
  </si>
  <si>
    <t>-----&gt;</t>
  </si>
  <si>
    <t>RCPT-CLEARED</t>
  </si>
  <si>
    <t>( BC )</t>
  </si>
  <si>
    <t>ADJ.</t>
  </si>
  <si>
    <t>OTHER-OFFICE</t>
  </si>
  <si>
    <t>BILLING</t>
  </si>
  <si>
    <t>ELE-DUTY</t>
  </si>
  <si>
    <t>ANGAN/AMNST</t>
  </si>
  <si>
    <t>BREAK-UP OF BOARD CHARGES</t>
  </si>
  <si>
    <t>---------------------------------------------------------------------------------------------------------------------------------------------------------</t>
  </si>
  <si>
    <t>SR.</t>
  </si>
  <si>
    <t>Category</t>
  </si>
  <si>
    <t>Demand Charges</t>
  </si>
  <si>
    <t>Energy-Charges.</t>
  </si>
  <si>
    <t>Time-Charges.</t>
  </si>
  <si>
    <t>Fuel-Surcharge</t>
  </si>
  <si>
    <t>Annual./SFM Charges.</t>
  </si>
  <si>
    <t>PF-Charges</t>
  </si>
  <si>
    <t>Debit-Adj</t>
  </si>
  <si>
    <t>PF-Rebate</t>
  </si>
  <si>
    <t>Ehv-Rebate</t>
  </si>
  <si>
    <t>HT INDUSTRY</t>
  </si>
  <si>
    <t>TRACTION RL</t>
  </si>
  <si>
    <t>AGRICULTURE</t>
  </si>
  <si>
    <t>LICENSEES</t>
  </si>
  <si>
    <t>OTHERS</t>
  </si>
  <si>
    <t>INTER-STATE</t>
  </si>
  <si>
    <t>DADRA NAGAR</t>
  </si>
  <si>
    <t>P.D.C</t>
  </si>
  <si>
    <t>WATER WORKS</t>
  </si>
  <si>
    <t>Grand Total</t>
  </si>
  <si>
    <t>Q1 2014</t>
  </si>
  <si>
    <t>Q1 2013</t>
  </si>
  <si>
    <t xml:space="preserve">Metered </t>
  </si>
  <si>
    <t>Unmetered</t>
  </si>
  <si>
    <t>Agricultural (Incl. Tariff Comp.)</t>
  </si>
  <si>
    <t>Misc. Revenue Related Recovery</t>
  </si>
  <si>
    <t>[ 4]</t>
  </si>
  <si>
    <t>[ 6 ]</t>
  </si>
  <si>
    <t>[7]</t>
  </si>
  <si>
    <t>Average Cost of Supply per unit of sales</t>
  </si>
  <si>
    <t>C.C.drawl at the end of the Quarter</t>
  </si>
  <si>
    <t>Misc. If any</t>
  </si>
  <si>
    <t xml:space="preserve">Total Expenses 1 to 13] </t>
  </si>
  <si>
    <t xml:space="preserve"> </t>
  </si>
  <si>
    <t>Income:</t>
  </si>
  <si>
    <t>Total Income(9+10+11+12)</t>
  </si>
  <si>
    <t>April to Mar-21</t>
  </si>
  <si>
    <t>Jan to Mar-22</t>
  </si>
  <si>
    <t>Jan to Mar-21</t>
  </si>
  <si>
    <t>April toMar-22</t>
  </si>
  <si>
    <t>MGVCL  -  V  -  DISTRIBUTION - KEY DATA</t>
  </si>
  <si>
    <t xml:space="preserve">Action plan for reducing T&amp;D losses in Urban, Industrial and GIDC feeders      </t>
  </si>
  <si>
    <t>Circle</t>
  </si>
  <si>
    <t>Q-IV-Jan to Mar-22</t>
  </si>
  <si>
    <t>Q-IV-Jan to Mar-21</t>
  </si>
  <si>
    <r>
      <t xml:space="preserve">Nos of feeders </t>
    </r>
    <r>
      <rPr>
        <b/>
        <sz val="10"/>
        <color rgb="FFFF0000"/>
        <rFont val="Leelawadee"/>
        <family val="2"/>
      </rPr>
      <t>having more than 5%</t>
    </r>
    <r>
      <rPr>
        <b/>
        <sz val="10"/>
        <rFont val="Leelawadee"/>
        <family val="2"/>
      </rPr>
      <t xml:space="preserve"> where losses increased in current period</t>
    </r>
  </si>
  <si>
    <t>Reason thereof and action being taken</t>
  </si>
  <si>
    <t xml:space="preserve">Total nos. of feeders     </t>
  </si>
  <si>
    <r>
      <t>Nos. of feeders having losses more than</t>
    </r>
    <r>
      <rPr>
        <b/>
        <sz val="10"/>
        <color rgb="FFFF0000"/>
        <rFont val="Leelawadee"/>
        <family val="2"/>
      </rPr>
      <t xml:space="preserve"> 5%     </t>
    </r>
  </si>
  <si>
    <t xml:space="preserve">Overall % losses    </t>
  </si>
  <si>
    <r>
      <t xml:space="preserve">Nos. of feeders having losses more than </t>
    </r>
    <r>
      <rPr>
        <b/>
        <sz val="10"/>
        <color rgb="FFFF0000"/>
        <rFont val="Leelawadee"/>
        <family val="2"/>
      </rPr>
      <t xml:space="preserve">5%     </t>
    </r>
  </si>
  <si>
    <t>GIDC</t>
  </si>
  <si>
    <t>Baroda OM</t>
  </si>
  <si>
    <t>Various steps are being taken to reduce the losses of feeder having high losses</t>
  </si>
  <si>
    <t>Baroda City</t>
  </si>
  <si>
    <t>Anand</t>
  </si>
  <si>
    <t>Nadiad</t>
  </si>
  <si>
    <t>Godhra</t>
  </si>
  <si>
    <t>Total</t>
  </si>
  <si>
    <t>* Newly created feeders</t>
  </si>
  <si>
    <r>
      <t xml:space="preserve">Nos of feeders </t>
    </r>
    <r>
      <rPr>
        <b/>
        <sz val="10"/>
        <color rgb="FFFF0000"/>
        <rFont val="Leelawadee"/>
        <family val="2"/>
      </rPr>
      <t>having more than 25%</t>
    </r>
    <r>
      <rPr>
        <b/>
        <sz val="10"/>
        <rFont val="Leelawadee"/>
        <family val="2"/>
      </rPr>
      <t xml:space="preserve"> where losses increased in current period</t>
    </r>
  </si>
  <si>
    <r>
      <t>Nos. of feeders having losses more than</t>
    </r>
    <r>
      <rPr>
        <b/>
        <sz val="10"/>
        <color rgb="FFFF0000"/>
        <rFont val="Leelawadee"/>
        <family val="2"/>
      </rPr>
      <t xml:space="preserve"> 25%     </t>
    </r>
  </si>
  <si>
    <r>
      <t xml:space="preserve">Nos. of feeders having losses more than </t>
    </r>
    <r>
      <rPr>
        <b/>
        <sz val="10"/>
        <color rgb="FFFF0000"/>
        <rFont val="Leelawadee"/>
        <family val="2"/>
      </rPr>
      <t xml:space="preserve">25%   </t>
    </r>
    <r>
      <rPr>
        <b/>
        <sz val="10"/>
        <rFont val="Leelawadee"/>
        <family val="2"/>
      </rPr>
      <t xml:space="preserve">  </t>
    </r>
  </si>
  <si>
    <t>URBAN</t>
  </si>
  <si>
    <t>7+1*</t>
  </si>
  <si>
    <t>7+1</t>
  </si>
  <si>
    <r>
      <t xml:space="preserve">Nos of feeders </t>
    </r>
    <r>
      <rPr>
        <b/>
        <sz val="10"/>
        <color rgb="FFFF0000"/>
        <rFont val="Leelawadee"/>
        <family val="2"/>
      </rPr>
      <t>having more than 10%</t>
    </r>
    <r>
      <rPr>
        <b/>
        <sz val="10"/>
        <rFont val="Leelawadee"/>
        <family val="2"/>
      </rPr>
      <t xml:space="preserve"> where losses increased in current period</t>
    </r>
  </si>
  <si>
    <r>
      <t>Nos. of feeders having losses more than</t>
    </r>
    <r>
      <rPr>
        <b/>
        <sz val="10"/>
        <color rgb="FFFF0000"/>
        <rFont val="Leelawadee"/>
        <family val="2"/>
      </rPr>
      <t xml:space="preserve"> 10%     </t>
    </r>
  </si>
  <si>
    <t>IND</t>
  </si>
  <si>
    <t>MGVCL</t>
  </si>
  <si>
    <t>V  -   DISTRIBUTION - KEY DATA</t>
  </si>
  <si>
    <t>FY 2021-22 Q-IV (Jan to Mar-22)</t>
  </si>
  <si>
    <t>Meter testing and details of non-working defective meters</t>
  </si>
  <si>
    <t>(A)</t>
  </si>
  <si>
    <t>Meter testing</t>
  </si>
  <si>
    <t>Total capacity of laboratory</t>
  </si>
  <si>
    <t>Tested during the period</t>
  </si>
  <si>
    <t>Pending for testing at the end of the period</t>
  </si>
  <si>
    <t>Single Phase</t>
  </si>
  <si>
    <t>No.</t>
  </si>
  <si>
    <t>Three Phase</t>
  </si>
  <si>
    <t>(B)</t>
  </si>
  <si>
    <t>Non-working/ Defective meters</t>
  </si>
  <si>
    <t>Defected - op.balance</t>
  </si>
  <si>
    <t>Added</t>
  </si>
  <si>
    <t>Total to be attended</t>
  </si>
  <si>
    <t>Replaced / repaired</t>
  </si>
  <si>
    <t>Pending at the end of the period</t>
  </si>
  <si>
    <t>Since the nos. of pending untested meters are normally quite high, action being taken by DISCOMs to increase the nos. of test benches at various locations so that almost nil outstanding balance should accrue.</t>
  </si>
  <si>
    <t>From MIS-3 : Static from Old pending.</t>
  </si>
  <si>
    <t>1 ph</t>
  </si>
  <si>
    <t>3 ph</t>
  </si>
  <si>
    <t>Pending (New)</t>
  </si>
  <si>
    <t>Pending (Old)</t>
  </si>
  <si>
    <t>Total Pending</t>
  </si>
  <si>
    <t>From MIS-3 - Lab1 and Lab3 Page</t>
  </si>
  <si>
    <t>Dec-21</t>
  </si>
  <si>
    <t>Sep-21</t>
  </si>
  <si>
    <t>Diff.</t>
  </si>
  <si>
    <t>Tested During Quarter</t>
  </si>
  <si>
    <t>Tested Cummulative since April</t>
  </si>
  <si>
    <t>NEW</t>
  </si>
  <si>
    <t>OLD</t>
  </si>
  <si>
    <t>1 Ph</t>
  </si>
  <si>
    <t>3 Ph</t>
  </si>
  <si>
    <t>From MIS-3
Non-Working Meters</t>
  </si>
  <si>
    <t>1Ph</t>
  </si>
  <si>
    <t>Pending of Last Month</t>
  </si>
  <si>
    <t>Added during month</t>
  </si>
  <si>
    <t>Replaced during month</t>
  </si>
  <si>
    <t>Pending at the end of month</t>
  </si>
  <si>
    <t>Cum 1 Ph replaced</t>
  </si>
  <si>
    <t>Cum 3 Ph replaced</t>
  </si>
  <si>
    <t>Apr'21</t>
  </si>
  <si>
    <t>May'21</t>
  </si>
  <si>
    <t>Jun'21</t>
  </si>
  <si>
    <t>Q-I</t>
  </si>
  <si>
    <t>Jul'21</t>
  </si>
  <si>
    <t>Aug'21</t>
  </si>
  <si>
    <t>Sep'21</t>
  </si>
  <si>
    <t>Q-II</t>
  </si>
  <si>
    <t>Oct'21</t>
  </si>
  <si>
    <t>Nov'21</t>
  </si>
  <si>
    <t>Dec'21</t>
  </si>
  <si>
    <t>Q-III</t>
  </si>
  <si>
    <t>Jan'22</t>
  </si>
  <si>
    <t>Feb'22</t>
  </si>
  <si>
    <t>Mar'22</t>
  </si>
  <si>
    <t>Q-IV</t>
  </si>
  <si>
    <t>FY 2021-22</t>
  </si>
</sst>
</file>

<file path=xl/styles.xml><?xml version="1.0" encoding="utf-8"?>
<styleSheet xmlns="http://schemas.openxmlformats.org/spreadsheetml/2006/main">
  <numFmts count="26">
    <numFmt numFmtId="43" formatCode="_(* #,##0.00_);_(* \(#,##0.00\);_(* &quot;-&quot;??_);_(@_)"/>
    <numFmt numFmtId="164" formatCode="0.000"/>
    <numFmt numFmtId="165" formatCode="0.0000"/>
    <numFmt numFmtId="166" formatCode="\$#,##0_);&quot;($&quot;#,##0\)"/>
    <numFmt numFmtId="167" formatCode="#,##0&quot; грн.&quot;;\-#,##0&quot; грн.&quot;"/>
    <numFmt numFmtId="168" formatCode="\£#,##0;&quot;-£&quot;#,##0"/>
    <numFmt numFmtId="169" formatCode="\\#,##0.00;[Red]&quot;-\&quot;#,##0.00"/>
    <numFmt numFmtId="170" formatCode="_(* #,##0_);_(* \(#,##0\);_(* \-??_);_(@_)"/>
    <numFmt numFmtId="171" formatCode="&quot;грн.&quot;#,##0.00;[Red]&quot;-грн.&quot;#,##0.00"/>
    <numFmt numFmtId="172" formatCode="_-&quot;грн.&quot;* #,##0.00_-;&quot;-грн.&quot;* #,##0.00_-;_-&quot;грн.&quot;* \-??_-;_-@_-"/>
    <numFmt numFmtId="173" formatCode="\\#,##0.00;[Red]&quot;\-&quot;#,##0.00"/>
    <numFmt numFmtId="174" formatCode="_ * #,##0.00_ ;_ * \-#,##0.00_ ;_ * \-??_ ;_ @_ "/>
    <numFmt numFmtId="175" formatCode="\$#,##0.00;[Red]&quot;-$&quot;#,##0.00"/>
    <numFmt numFmtId="176" formatCode="\£#,##0.00;[Red]&quot;-£&quot;#,##0.00"/>
    <numFmt numFmtId="177" formatCode="0_)"/>
    <numFmt numFmtId="178" formatCode="_ * #,##0_ ;_ * \-#,##0_ ;_ * \-_ ;_ @_ "/>
    <numFmt numFmtId="179" formatCode="_-* #,##0.00&quot; €&quot;_-;\-* #,##0.00&quot; €&quot;_-;_-* \-??&quot; €&quot;_-;_-@_-"/>
    <numFmt numFmtId="180" formatCode="#,##0.0"/>
    <numFmt numFmtId="181" formatCode="_-* #,##0\ _F_-;\-* #,##0\ _F_-;_-* &quot;- &quot;_F_-;_-@_-"/>
    <numFmt numFmtId="182" formatCode="_-* #,##0.00\ _F_-;\-* #,##0.00\ _F_-;_-* \-??\ _F_-;_-@_-"/>
    <numFmt numFmtId="183" formatCode="_ &quot;Fr. &quot;* #,##0_ ;_ &quot;Fr. &quot;* \-#,##0_ ;_ &quot;Fr. &quot;* \-_ ;_ @_ "/>
    <numFmt numFmtId="184" formatCode="_ &quot;Fr. &quot;* #,##0.00_ ;_ &quot;Fr. &quot;* \-#,##0.00_ ;_ &quot;Fr. &quot;* \-??_ ;_ @_ "/>
    <numFmt numFmtId="185" formatCode="_-\$* #,##0_-;&quot;-$&quot;* #,##0_-;_-\$* \-_-;_-@_-"/>
    <numFmt numFmtId="186" formatCode="_-\$* #,##0.00_-;&quot;-$&quot;* #,##0.00_-;_-\$* \-??_-;_-@_-"/>
    <numFmt numFmtId="187" formatCode="\\#,##0;[Red]&quot;\-&quot;#,##0"/>
    <numFmt numFmtId="188" formatCode="[$-409]mmm\-yy;@"/>
  </numFmts>
  <fonts count="93">
    <font>
      <sz val="10"/>
      <name val="Arial"/>
    </font>
    <font>
      <sz val="11"/>
      <color theme="1"/>
      <name val="Calibri"/>
      <family val="2"/>
      <scheme val="minor"/>
    </font>
    <font>
      <sz val="8"/>
      <name val="Arial"/>
      <family val="2"/>
    </font>
    <font>
      <b/>
      <sz val="14"/>
      <name val="Bookman Old Style"/>
      <family val="1"/>
    </font>
    <font>
      <b/>
      <sz val="22"/>
      <name val="Bookman Old Style"/>
      <family val="1"/>
    </font>
    <font>
      <b/>
      <sz val="24"/>
      <name val="Bookman Old Style"/>
      <family val="1"/>
    </font>
    <font>
      <sz val="10"/>
      <name val="Arial"/>
      <family val="2"/>
    </font>
    <font>
      <sz val="16"/>
      <name val="Arial"/>
      <family val="2"/>
    </font>
    <font>
      <b/>
      <sz val="22"/>
      <name val="Algerian"/>
      <family val="5"/>
    </font>
    <font>
      <b/>
      <sz val="18"/>
      <name val="Bookman Old Style"/>
      <family val="1"/>
    </font>
    <font>
      <b/>
      <sz val="20"/>
      <name val="Arial"/>
      <family val="2"/>
    </font>
    <font>
      <sz val="18"/>
      <name val="Arial"/>
      <family val="2"/>
    </font>
    <font>
      <b/>
      <sz val="14"/>
      <color theme="1"/>
      <name val="Bookman Old Style"/>
      <family val="1"/>
    </font>
    <font>
      <b/>
      <sz val="18"/>
      <color theme="1"/>
      <name val="Bookman Old Style"/>
      <family val="1"/>
    </font>
    <font>
      <sz val="16"/>
      <color theme="1"/>
      <name val="Arial"/>
      <family val="2"/>
    </font>
    <font>
      <b/>
      <sz val="16"/>
      <color theme="1"/>
      <name val="Bookman Old Style"/>
      <family val="1"/>
    </font>
    <font>
      <sz val="10"/>
      <color theme="1"/>
      <name val="Arial"/>
      <family val="2"/>
    </font>
    <font>
      <b/>
      <sz val="11"/>
      <color theme="1"/>
      <name val="Calibri"/>
      <family val="2"/>
      <scheme val="minor"/>
    </font>
    <font>
      <b/>
      <sz val="12"/>
      <color theme="1"/>
      <name val="Courier New"/>
      <family val="3"/>
    </font>
    <font>
      <sz val="12"/>
      <color theme="1"/>
      <name val="Courier New"/>
      <family val="3"/>
    </font>
    <font>
      <b/>
      <sz val="10"/>
      <color theme="1"/>
      <name val="Courier New"/>
      <family val="3"/>
    </font>
    <font>
      <sz val="10"/>
      <color theme="1"/>
      <name val="Courier New"/>
      <family val="3"/>
    </font>
    <font>
      <b/>
      <sz val="26"/>
      <color theme="1"/>
      <name val="Bookman Old Style"/>
      <family val="1"/>
    </font>
    <font>
      <b/>
      <sz val="22"/>
      <color theme="1"/>
      <name val="Algerian"/>
      <family val="5"/>
    </font>
    <font>
      <b/>
      <sz val="22"/>
      <color theme="1"/>
      <name val="Bookman Old Style"/>
      <family val="1"/>
    </font>
    <font>
      <b/>
      <sz val="20"/>
      <color theme="1"/>
      <name val="Arial"/>
      <family val="2"/>
    </font>
    <font>
      <sz val="18"/>
      <color theme="1"/>
      <name val="Arial"/>
      <family val="2"/>
    </font>
    <font>
      <b/>
      <sz val="8"/>
      <color theme="1"/>
      <name val="Bookman Old Style"/>
      <family val="1"/>
    </font>
    <font>
      <b/>
      <sz val="26"/>
      <color theme="1"/>
      <name val="Algerian"/>
      <family val="5"/>
    </font>
    <font>
      <b/>
      <sz val="20"/>
      <color theme="1"/>
      <name val="Bookman Old Style"/>
      <family val="1"/>
    </font>
    <font>
      <b/>
      <sz val="24"/>
      <color theme="1"/>
      <name val="Bookman Old Style"/>
      <family val="1"/>
    </font>
    <font>
      <b/>
      <sz val="24"/>
      <color theme="1"/>
      <name val="Algerian"/>
      <family val="5"/>
    </font>
    <font>
      <b/>
      <sz val="14"/>
      <color theme="1"/>
      <name val="Arial"/>
      <family val="2"/>
    </font>
    <font>
      <b/>
      <sz val="12"/>
      <color theme="1"/>
      <name val="Bookman Old Style"/>
      <family val="1"/>
    </font>
    <font>
      <b/>
      <sz val="18"/>
      <color theme="1"/>
      <name val="Arial"/>
      <family val="2"/>
    </font>
    <font>
      <sz val="14"/>
      <color theme="1"/>
      <name val="Arial"/>
      <family val="2"/>
    </font>
    <font>
      <b/>
      <sz val="16"/>
      <color theme="1"/>
      <name val="Arial"/>
      <family val="2"/>
    </font>
    <font>
      <sz val="20"/>
      <color theme="1"/>
      <name val="Arial"/>
      <family val="2"/>
    </font>
    <font>
      <sz val="10"/>
      <color theme="0"/>
      <name val="Arial"/>
      <family val="2"/>
    </font>
    <font>
      <sz val="16"/>
      <color theme="0"/>
      <name val="Arial"/>
      <family val="2"/>
    </font>
    <font>
      <b/>
      <sz val="14"/>
      <color theme="0"/>
      <name val="Bookman Old Style"/>
      <family val="1"/>
    </font>
    <font>
      <b/>
      <sz val="18"/>
      <color theme="0"/>
      <name val="Bookman Old Style"/>
      <family val="1"/>
    </font>
    <font>
      <sz val="10"/>
      <name val="Arial"/>
      <family val="2"/>
    </font>
    <font>
      <b/>
      <sz val="14"/>
      <name val="Leelawadee"/>
      <family val="2"/>
    </font>
    <font>
      <sz val="10"/>
      <color theme="1"/>
      <name val="Leelawadee"/>
      <family val="2"/>
    </font>
    <font>
      <b/>
      <sz val="10"/>
      <name val="Leelawadee"/>
      <family val="2"/>
    </font>
    <font>
      <b/>
      <sz val="12"/>
      <name val="Leelawadee"/>
      <family val="2"/>
    </font>
    <font>
      <b/>
      <sz val="10"/>
      <color rgb="FFFF0000"/>
      <name val="Leelawadee"/>
      <family val="2"/>
    </font>
    <font>
      <sz val="10"/>
      <name val="Leelawadee"/>
      <family val="2"/>
    </font>
    <font>
      <sz val="10"/>
      <color rgb="FFC00000"/>
      <name val="Leelawadee"/>
      <family val="2"/>
    </font>
    <font>
      <b/>
      <sz val="10"/>
      <color theme="1"/>
      <name val="Leelawadee"/>
      <family val="2"/>
    </font>
    <font>
      <b/>
      <sz val="10"/>
      <color rgb="FFC00000"/>
      <name val="Leelawadee"/>
      <family val="2"/>
    </font>
    <font>
      <sz val="8"/>
      <color theme="1"/>
      <name val="Leelawadee"/>
      <family val="2"/>
    </font>
    <font>
      <b/>
      <sz val="8"/>
      <name val="Leelawadee"/>
      <family val="2"/>
    </font>
    <font>
      <sz val="10"/>
      <color rgb="FFFF0000"/>
      <name val="Leelawadee"/>
      <family val="2"/>
    </font>
    <font>
      <sz val="10"/>
      <color indexed="8"/>
      <name val="Arial"/>
      <family val="2"/>
    </font>
    <font>
      <sz val="10"/>
      <color indexed="8"/>
      <name val="ARIAL"/>
      <family val="2"/>
      <charset val="1"/>
    </font>
    <font>
      <sz val="11"/>
      <name val="‚l‚r ‚oƒSƒVƒbƒN"/>
      <family val="3"/>
      <charset val="128"/>
    </font>
    <font>
      <sz val="7"/>
      <name val="Helv"/>
      <family val="2"/>
    </font>
    <font>
      <sz val="7"/>
      <name val="Helv"/>
    </font>
    <font>
      <sz val="12"/>
      <name val="Tms Rmn"/>
    </font>
    <font>
      <b/>
      <sz val="10"/>
      <name val="MS Sans Serif"/>
      <family val="2"/>
    </font>
    <font>
      <sz val="12"/>
      <name val="¹UAAA¼"/>
      <family val="3"/>
      <charset val="129"/>
    </font>
    <font>
      <sz val="11"/>
      <color indexed="8"/>
      <name val="Calibri"/>
      <family val="2"/>
    </font>
    <font>
      <sz val="12"/>
      <name val="Helv"/>
    </font>
    <font>
      <sz val="11"/>
      <name val="Times New Roman"/>
      <family val="1"/>
    </font>
    <font>
      <sz val="10"/>
      <color indexed="10"/>
      <name val="Arial"/>
      <family val="2"/>
    </font>
    <font>
      <b/>
      <sz val="12"/>
      <color indexed="9"/>
      <name val="Tms Rmn"/>
    </font>
    <font>
      <b/>
      <sz val="12"/>
      <name val="Arial"/>
      <family val="2"/>
    </font>
    <font>
      <b/>
      <sz val="18"/>
      <name val="Arial"/>
      <family val="2"/>
    </font>
    <font>
      <b/>
      <sz val="15"/>
      <color indexed="56"/>
      <name val="Calibri"/>
      <family val="2"/>
    </font>
    <font>
      <b/>
      <sz val="13"/>
      <color indexed="56"/>
      <name val="Calibri"/>
      <family val="2"/>
    </font>
    <font>
      <u/>
      <sz val="9"/>
      <color indexed="12"/>
      <name val="Arial"/>
      <family val="2"/>
      <charset val="238"/>
    </font>
    <font>
      <u/>
      <sz val="9"/>
      <color indexed="12"/>
      <name val="Arial"/>
      <family val="2"/>
    </font>
    <font>
      <sz val="7"/>
      <name val="Small Fonts"/>
      <family val="2"/>
    </font>
    <font>
      <sz val="10"/>
      <name val="Courier New"/>
      <family val="3"/>
    </font>
    <font>
      <sz val="7"/>
      <color indexed="10"/>
      <name val="Helv"/>
      <family val="2"/>
    </font>
    <font>
      <sz val="7"/>
      <color indexed="10"/>
      <name val="Helv"/>
    </font>
    <font>
      <u/>
      <sz val="9"/>
      <color indexed="20"/>
      <name val="Arial"/>
      <family val="2"/>
      <charset val="238"/>
    </font>
    <font>
      <u/>
      <sz val="9"/>
      <color indexed="20"/>
      <name val="Arial"/>
      <family val="2"/>
    </font>
    <font>
      <b/>
      <sz val="11"/>
      <color indexed="8"/>
      <name val="Calibri"/>
      <family val="2"/>
    </font>
    <font>
      <sz val="12"/>
      <name val="뼻뮝"/>
      <family val="1"/>
      <charset val="129"/>
    </font>
    <font>
      <sz val="10"/>
      <name val="굴림체"/>
      <family val="3"/>
      <charset val="129"/>
    </font>
    <font>
      <b/>
      <sz val="24"/>
      <color theme="1"/>
      <name val="Leelawadee"/>
      <family val="2"/>
    </font>
    <font>
      <b/>
      <sz val="16"/>
      <name val="Leelawadee"/>
      <family val="2"/>
    </font>
    <font>
      <b/>
      <sz val="16"/>
      <color theme="1"/>
      <name val="Leelawadee"/>
      <family val="2"/>
    </font>
    <font>
      <b/>
      <sz val="12"/>
      <color theme="1"/>
      <name val="Leelawadee"/>
      <family val="2"/>
    </font>
    <font>
      <sz val="12"/>
      <color theme="1"/>
      <name val="Leelawadee"/>
      <family val="2"/>
    </font>
    <font>
      <b/>
      <sz val="11"/>
      <color theme="1"/>
      <name val="Leelawadee"/>
      <family val="2"/>
    </font>
    <font>
      <b/>
      <sz val="11"/>
      <name val="Leelawadee"/>
      <family val="2"/>
    </font>
    <font>
      <sz val="11"/>
      <color theme="1"/>
      <name val="Leelawadee"/>
      <family val="2"/>
    </font>
    <font>
      <sz val="11"/>
      <name val="Leelawadee"/>
      <family val="2"/>
    </font>
    <font>
      <u/>
      <sz val="10"/>
      <color indexed="12"/>
      <name val="Arial"/>
      <family val="2"/>
    </font>
  </fonts>
  <fills count="14">
    <fill>
      <patternFill patternType="none"/>
    </fill>
    <fill>
      <patternFill patternType="gray125"/>
    </fill>
    <fill>
      <patternFill patternType="solid">
        <fgColor theme="0"/>
        <bgColor indexed="64"/>
      </patternFill>
    </fill>
    <fill>
      <patternFill patternType="solid">
        <fgColor indexed="22"/>
        <bgColor indexed="31"/>
      </patternFill>
    </fill>
    <fill>
      <patternFill patternType="solid">
        <fgColor indexed="65"/>
        <bgColor indexed="64"/>
      </patternFill>
    </fill>
    <fill>
      <patternFill patternType="solid">
        <fgColor indexed="26"/>
        <bgColor indexed="9"/>
      </patternFill>
    </fill>
    <fill>
      <patternFill patternType="solid">
        <fgColor indexed="26"/>
      </patternFill>
    </fill>
    <fill>
      <patternFill patternType="solid">
        <fgColor indexed="43"/>
        <bgColor indexed="64"/>
      </patternFill>
    </fill>
    <fill>
      <patternFill patternType="solid">
        <fgColor theme="3" tint="0.79998168889431442"/>
        <bgColor indexed="64"/>
      </patternFill>
    </fill>
    <fill>
      <patternFill patternType="solid">
        <fgColor theme="6" tint="0.59999389629810485"/>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8" tint="0.59999389629810485"/>
        <bgColor indexed="64"/>
      </patternFill>
    </fill>
    <fill>
      <patternFill patternType="solid">
        <fgColor rgb="FFFFFF00"/>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bottom/>
      <diagonal/>
    </border>
    <border>
      <left/>
      <right style="medium">
        <color indexed="64"/>
      </right>
      <top style="thin">
        <color indexed="64"/>
      </top>
      <bottom style="thin">
        <color indexed="64"/>
      </bottom>
      <diagonal/>
    </border>
    <border>
      <left style="thin">
        <color indexed="64"/>
      </left>
      <right style="thin">
        <color indexed="64"/>
      </right>
      <top/>
      <bottom/>
      <diagonal/>
    </border>
    <border>
      <left/>
      <right style="medium">
        <color indexed="64"/>
      </right>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right/>
      <top style="medium">
        <color indexed="64"/>
      </top>
      <bottom/>
      <diagonal/>
    </border>
    <border>
      <left/>
      <right/>
      <top style="thin">
        <color indexed="8"/>
      </top>
      <bottom/>
      <diagonal/>
    </border>
    <border>
      <left style="thin">
        <color indexed="8"/>
      </left>
      <right style="thin">
        <color indexed="8"/>
      </right>
      <top/>
      <bottom style="hair">
        <color indexed="8"/>
      </bottom>
      <diagonal/>
    </border>
    <border>
      <left/>
      <right/>
      <top style="medium">
        <color indexed="8"/>
      </top>
      <bottom style="medium">
        <color indexed="8"/>
      </bottom>
      <diagonal/>
    </border>
    <border>
      <left/>
      <right/>
      <top style="thin">
        <color indexed="8"/>
      </top>
      <bottom style="thin">
        <color indexed="8"/>
      </bottom>
      <diagonal/>
    </border>
    <border>
      <left/>
      <right/>
      <top/>
      <bottom style="thick">
        <color indexed="62"/>
      </bottom>
      <diagonal/>
    </border>
    <border>
      <left/>
      <right/>
      <top/>
      <bottom style="thick">
        <color indexed="22"/>
      </bottom>
      <diagonal/>
    </border>
    <border>
      <left style="thin">
        <color indexed="22"/>
      </left>
      <right style="thin">
        <color indexed="22"/>
      </right>
      <top style="thin">
        <color indexed="22"/>
      </top>
      <bottom style="thin">
        <color indexed="22"/>
      </bottom>
      <diagonal/>
    </border>
    <border>
      <left style="thin">
        <color indexed="9"/>
      </left>
      <right style="thin">
        <color indexed="9"/>
      </right>
      <top style="thin">
        <color indexed="9"/>
      </top>
      <bottom style="thin">
        <color indexed="9"/>
      </bottom>
      <diagonal/>
    </border>
    <border>
      <left/>
      <right/>
      <top style="double">
        <color indexed="8"/>
      </top>
      <bottom/>
      <diagonal/>
    </border>
    <border>
      <left/>
      <right/>
      <top style="thin">
        <color indexed="62"/>
      </top>
      <bottom style="double">
        <color indexed="62"/>
      </bottom>
      <diagonal/>
    </border>
    <border>
      <left style="medium">
        <color indexed="64"/>
      </left>
      <right style="thin">
        <color indexed="64"/>
      </right>
      <top style="medium">
        <color indexed="64"/>
      </top>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2537">
    <xf numFmtId="0" fontId="0" fillId="0" borderId="0"/>
    <xf numFmtId="0" fontId="6" fillId="0" borderId="0"/>
    <xf numFmtId="9" fontId="42" fillId="0" borderId="0" applyFont="0" applyFill="0" applyBorder="0" applyAlignment="0" applyProtection="0"/>
    <xf numFmtId="9" fontId="6" fillId="0" borderId="0" applyFont="0" applyFill="0" applyBorder="0" applyAlignment="0" applyProtection="0"/>
    <xf numFmtId="0" fontId="1" fillId="0" borderId="0"/>
    <xf numFmtId="0" fontId="6" fillId="0" borderId="0"/>
    <xf numFmtId="0" fontId="6" fillId="0" borderId="0"/>
    <xf numFmtId="0" fontId="6" fillId="0" borderId="0"/>
    <xf numFmtId="0" fontId="6" fillId="0" borderId="0"/>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6" fillId="0" borderId="0"/>
    <xf numFmtId="0" fontId="6" fillId="0" borderId="0"/>
    <xf numFmtId="0" fontId="55" fillId="0" borderId="0">
      <alignment vertical="top"/>
    </xf>
    <xf numFmtId="0" fontId="55" fillId="0" borderId="0">
      <alignment vertical="top"/>
    </xf>
    <xf numFmtId="0" fontId="6" fillId="0" borderId="0"/>
    <xf numFmtId="0" fontId="6" fillId="0" borderId="0"/>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5" fillId="0" borderId="0">
      <alignment vertical="top"/>
    </xf>
    <xf numFmtId="0" fontId="55" fillId="0" borderId="0">
      <alignment vertical="top"/>
    </xf>
    <xf numFmtId="0" fontId="6" fillId="0" borderId="0"/>
    <xf numFmtId="0" fontId="6" fillId="0" borderId="0"/>
    <xf numFmtId="0" fontId="6" fillId="0" borderId="0"/>
    <xf numFmtId="0" fontId="6" fillId="0" borderId="0"/>
    <xf numFmtId="0" fontId="55" fillId="0" borderId="0">
      <alignment vertical="top"/>
    </xf>
    <xf numFmtId="0" fontId="55" fillId="0" borderId="0">
      <alignment vertical="top"/>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6" fillId="0" borderId="0"/>
    <xf numFmtId="0" fontId="6" fillId="0" borderId="0"/>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6" fillId="0" borderId="0"/>
    <xf numFmtId="0" fontId="6" fillId="0" borderId="0"/>
    <xf numFmtId="0" fontId="6" fillId="0" borderId="0"/>
    <xf numFmtId="0" fontId="6" fillId="0" borderId="0"/>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6" fillId="0" borderId="0">
      <alignment vertical="top"/>
    </xf>
    <xf numFmtId="0" fontId="56" fillId="0" borderId="0">
      <alignment vertical="top"/>
    </xf>
    <xf numFmtId="0" fontId="55" fillId="0" borderId="0">
      <alignment vertical="top"/>
    </xf>
    <xf numFmtId="0" fontId="55" fillId="0" borderId="0">
      <alignment vertical="top"/>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6" fillId="0" borderId="0"/>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6" fillId="0" borderId="0"/>
    <xf numFmtId="0" fontId="6" fillId="0" borderId="0"/>
    <xf numFmtId="0" fontId="6" fillId="0" borderId="0"/>
    <xf numFmtId="0" fontId="6" fillId="0" borderId="0"/>
    <xf numFmtId="0" fontId="6" fillId="0" borderId="0"/>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6" fillId="0" borderId="0"/>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6" fillId="0" borderId="0"/>
    <xf numFmtId="0" fontId="6" fillId="0" borderId="0"/>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6" fillId="0" borderId="0"/>
    <xf numFmtId="0" fontId="6" fillId="0" borderId="0"/>
    <xf numFmtId="0" fontId="6" fillId="0" borderId="0"/>
    <xf numFmtId="0" fontId="6" fillId="0" borderId="0"/>
    <xf numFmtId="0" fontId="6" fillId="0" borderId="0"/>
    <xf numFmtId="0" fontId="6" fillId="0" borderId="0"/>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6" fillId="0" borderId="0"/>
    <xf numFmtId="0" fontId="6" fillId="0" borderId="0"/>
    <xf numFmtId="0" fontId="6" fillId="0" borderId="0"/>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6"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6"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6" fillId="0" borderId="0"/>
    <xf numFmtId="0" fontId="6" fillId="0" borderId="0"/>
    <xf numFmtId="0" fontId="6" fillId="0" borderId="0"/>
    <xf numFmtId="0" fontId="6" fillId="0" borderId="0"/>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6" fillId="0" borderId="0"/>
    <xf numFmtId="0" fontId="6" fillId="0" borderId="0"/>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6" fillId="0" borderId="0"/>
    <xf numFmtId="0" fontId="6" fillId="0" borderId="0"/>
    <xf numFmtId="0" fontId="55" fillId="0" borderId="0">
      <alignment vertical="top"/>
    </xf>
    <xf numFmtId="0" fontId="55" fillId="0" borderId="0">
      <alignment vertical="top"/>
    </xf>
    <xf numFmtId="0" fontId="6" fillId="0" borderId="0"/>
    <xf numFmtId="0" fontId="6" fillId="0" borderId="0"/>
    <xf numFmtId="0" fontId="6" fillId="0" borderId="0"/>
    <xf numFmtId="0" fontId="6" fillId="0" borderId="0"/>
    <xf numFmtId="0" fontId="6" fillId="0" borderId="0"/>
    <xf numFmtId="0" fontId="55" fillId="0" borderId="0">
      <alignment vertical="top"/>
    </xf>
    <xf numFmtId="0" fontId="55" fillId="0" borderId="0">
      <alignment vertical="top"/>
    </xf>
    <xf numFmtId="0" fontId="55" fillId="0" borderId="0">
      <alignment vertical="top"/>
    </xf>
    <xf numFmtId="0" fontId="6" fillId="0" borderId="0"/>
    <xf numFmtId="0" fontId="6" fillId="0" borderId="0"/>
    <xf numFmtId="0" fontId="6" fillId="0" borderId="0"/>
    <xf numFmtId="0" fontId="6" fillId="0" borderId="0"/>
    <xf numFmtId="0" fontId="6" fillId="0" borderId="0"/>
    <xf numFmtId="0" fontId="6" fillId="0" borderId="0"/>
    <xf numFmtId="0" fontId="55" fillId="0" borderId="0">
      <alignment vertical="top"/>
    </xf>
    <xf numFmtId="0" fontId="55" fillId="0" borderId="0">
      <alignment vertical="top"/>
    </xf>
    <xf numFmtId="0" fontId="6" fillId="0" borderId="0"/>
    <xf numFmtId="0" fontId="6" fillId="0" borderId="0"/>
    <xf numFmtId="0" fontId="6" fillId="0" borderId="0"/>
    <xf numFmtId="0" fontId="55" fillId="0" borderId="0">
      <alignment vertical="top"/>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6"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6" fillId="0" borderId="0">
      <alignment vertical="top"/>
    </xf>
    <xf numFmtId="0" fontId="55" fillId="0" borderId="0">
      <alignment vertical="top"/>
    </xf>
    <xf numFmtId="0" fontId="56"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6" fillId="0" borderId="0">
      <alignment vertical="top"/>
    </xf>
    <xf numFmtId="0" fontId="55" fillId="0" borderId="0">
      <alignment vertical="top"/>
    </xf>
    <xf numFmtId="0" fontId="55" fillId="0" borderId="0">
      <alignment vertical="top"/>
    </xf>
    <xf numFmtId="0" fontId="56" fillId="0" borderId="0">
      <alignment vertical="top"/>
    </xf>
    <xf numFmtId="0" fontId="56"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6" fillId="0" borderId="0">
      <alignment vertical="top"/>
    </xf>
    <xf numFmtId="0" fontId="55" fillId="0" borderId="0">
      <alignment vertical="top"/>
    </xf>
    <xf numFmtId="0" fontId="55" fillId="0" borderId="0">
      <alignment vertical="top"/>
    </xf>
    <xf numFmtId="0" fontId="56" fillId="0" borderId="0">
      <alignment vertical="top"/>
    </xf>
    <xf numFmtId="0" fontId="56"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6" fillId="0" borderId="0">
      <alignment vertical="top"/>
    </xf>
    <xf numFmtId="0" fontId="55" fillId="0" borderId="0">
      <alignment vertical="top"/>
    </xf>
    <xf numFmtId="0" fontId="55" fillId="0" borderId="0">
      <alignment vertical="top"/>
    </xf>
    <xf numFmtId="0" fontId="56" fillId="0" borderId="0">
      <alignment vertical="top"/>
    </xf>
    <xf numFmtId="0" fontId="56"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6" fillId="0" borderId="0">
      <alignment vertical="top"/>
    </xf>
    <xf numFmtId="0" fontId="55" fillId="0" borderId="0">
      <alignment vertical="top"/>
    </xf>
    <xf numFmtId="0" fontId="55" fillId="0" borderId="0">
      <alignment vertical="top"/>
    </xf>
    <xf numFmtId="0" fontId="56" fillId="0" borderId="0">
      <alignment vertical="top"/>
    </xf>
    <xf numFmtId="0" fontId="56"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6" fillId="0" borderId="0">
      <alignment vertical="top"/>
    </xf>
    <xf numFmtId="0" fontId="55" fillId="0" borderId="0">
      <alignment vertical="top"/>
    </xf>
    <xf numFmtId="0" fontId="55" fillId="0" borderId="0">
      <alignment vertical="top"/>
    </xf>
    <xf numFmtId="0" fontId="56" fillId="0" borderId="0">
      <alignment vertical="top"/>
    </xf>
    <xf numFmtId="0" fontId="56"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6"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6" fillId="0" borderId="0">
      <alignment vertical="top"/>
    </xf>
    <xf numFmtId="0" fontId="55" fillId="0" borderId="0">
      <alignment vertical="top"/>
    </xf>
    <xf numFmtId="0" fontId="55" fillId="0" borderId="0">
      <alignment vertical="top"/>
    </xf>
    <xf numFmtId="0" fontId="56" fillId="0" borderId="0">
      <alignment vertical="top"/>
    </xf>
    <xf numFmtId="0" fontId="56"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6" fillId="0" borderId="0">
      <alignment vertical="top"/>
    </xf>
    <xf numFmtId="0" fontId="55" fillId="0" borderId="0">
      <alignment vertical="top"/>
    </xf>
    <xf numFmtId="0" fontId="55" fillId="0" borderId="0">
      <alignment vertical="top"/>
    </xf>
    <xf numFmtId="0" fontId="56" fillId="0" borderId="0">
      <alignment vertical="top"/>
    </xf>
    <xf numFmtId="0" fontId="56"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6"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6" fillId="0" borderId="0">
      <alignment vertical="top"/>
    </xf>
    <xf numFmtId="0" fontId="56"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6" fillId="0" borderId="0">
      <alignment vertical="top"/>
    </xf>
    <xf numFmtId="0" fontId="55" fillId="0" borderId="0">
      <alignment vertical="top"/>
    </xf>
    <xf numFmtId="0" fontId="55" fillId="0" borderId="0">
      <alignment vertical="top"/>
    </xf>
    <xf numFmtId="0" fontId="56" fillId="0" borderId="0">
      <alignment vertical="top"/>
    </xf>
    <xf numFmtId="0" fontId="56"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6"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6" fillId="0" borderId="0">
      <alignment vertical="top"/>
    </xf>
    <xf numFmtId="0" fontId="56"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6" fillId="0" borderId="0">
      <alignment vertical="top"/>
    </xf>
    <xf numFmtId="0" fontId="55" fillId="0" borderId="0">
      <alignment vertical="top"/>
    </xf>
    <xf numFmtId="0" fontId="55" fillId="0" borderId="0">
      <alignment vertical="top"/>
    </xf>
    <xf numFmtId="0" fontId="56" fillId="0" borderId="0">
      <alignment vertical="top"/>
    </xf>
    <xf numFmtId="0" fontId="56"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6" fillId="0" borderId="0">
      <alignment vertical="top"/>
    </xf>
    <xf numFmtId="0" fontId="55" fillId="0" borderId="0">
      <alignment vertical="top"/>
    </xf>
    <xf numFmtId="0" fontId="55" fillId="0" borderId="0">
      <alignment vertical="top"/>
    </xf>
    <xf numFmtId="0" fontId="56" fillId="0" borderId="0">
      <alignment vertical="top"/>
    </xf>
    <xf numFmtId="0" fontId="56"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6" fillId="0" borderId="0">
      <alignment vertical="top"/>
    </xf>
    <xf numFmtId="0" fontId="55" fillId="0" borderId="0">
      <alignment vertical="top"/>
    </xf>
    <xf numFmtId="0" fontId="55" fillId="0" borderId="0">
      <alignment vertical="top"/>
    </xf>
    <xf numFmtId="0" fontId="56" fillId="0" borderId="0">
      <alignment vertical="top"/>
    </xf>
    <xf numFmtId="0" fontId="56"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6"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6" fillId="0" borderId="0">
      <alignment vertical="top"/>
    </xf>
    <xf numFmtId="0" fontId="56"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6"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6" fillId="0" borderId="0">
      <alignment vertical="top"/>
    </xf>
    <xf numFmtId="0" fontId="56"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6" fillId="0" borderId="0">
      <alignment vertical="top"/>
    </xf>
    <xf numFmtId="0" fontId="55" fillId="0" borderId="0">
      <alignment vertical="top"/>
    </xf>
    <xf numFmtId="0" fontId="55" fillId="0" borderId="0">
      <alignment vertical="top"/>
    </xf>
    <xf numFmtId="0" fontId="56" fillId="0" borderId="0">
      <alignment vertical="top"/>
    </xf>
    <xf numFmtId="0" fontId="56"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6" fillId="0" borderId="0">
      <alignment vertical="top"/>
    </xf>
    <xf numFmtId="0" fontId="55" fillId="0" borderId="0">
      <alignment vertical="top"/>
    </xf>
    <xf numFmtId="0" fontId="55" fillId="0" borderId="0">
      <alignment vertical="top"/>
    </xf>
    <xf numFmtId="0" fontId="56" fillId="0" borderId="0">
      <alignment vertical="top"/>
    </xf>
    <xf numFmtId="0" fontId="56"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6" fillId="0" borderId="0">
      <alignment vertical="top"/>
    </xf>
    <xf numFmtId="0" fontId="55" fillId="0" borderId="0">
      <alignment vertical="top"/>
    </xf>
    <xf numFmtId="0" fontId="55" fillId="0" borderId="0">
      <alignment vertical="top"/>
    </xf>
    <xf numFmtId="0" fontId="56" fillId="0" borderId="0">
      <alignment vertical="top"/>
    </xf>
    <xf numFmtId="0" fontId="56"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6" fillId="0" borderId="0">
      <alignment vertical="top"/>
    </xf>
    <xf numFmtId="0" fontId="55" fillId="0" borderId="0">
      <alignment vertical="top"/>
    </xf>
    <xf numFmtId="0" fontId="55" fillId="0" borderId="0">
      <alignment vertical="top"/>
    </xf>
    <xf numFmtId="0" fontId="56" fillId="0" borderId="0">
      <alignment vertical="top"/>
    </xf>
    <xf numFmtId="0" fontId="56"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6" fillId="0" borderId="0">
      <alignment vertical="top"/>
    </xf>
    <xf numFmtId="0" fontId="55" fillId="0" borderId="0">
      <alignment vertical="top"/>
    </xf>
    <xf numFmtId="0" fontId="55" fillId="0" borderId="0">
      <alignment vertical="top"/>
    </xf>
    <xf numFmtId="0" fontId="56" fillId="0" borderId="0">
      <alignment vertical="top"/>
    </xf>
    <xf numFmtId="0" fontId="56"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6" fillId="0" borderId="0">
      <alignment vertical="top"/>
    </xf>
    <xf numFmtId="0" fontId="55" fillId="0" borderId="0">
      <alignment vertical="top"/>
    </xf>
    <xf numFmtId="0" fontId="55" fillId="0" borderId="0">
      <alignment vertical="top"/>
    </xf>
    <xf numFmtId="0" fontId="56" fillId="0" borderId="0">
      <alignment vertical="top"/>
    </xf>
    <xf numFmtId="0" fontId="56" fillId="0" borderId="0">
      <alignment vertical="top"/>
    </xf>
    <xf numFmtId="0" fontId="55" fillId="0" borderId="0">
      <alignment vertical="top"/>
    </xf>
    <xf numFmtId="0" fontId="55" fillId="0" borderId="0">
      <alignment vertical="top"/>
    </xf>
    <xf numFmtId="0" fontId="55" fillId="0" borderId="0">
      <alignment vertical="top"/>
    </xf>
    <xf numFmtId="0" fontId="56" fillId="0" borderId="0">
      <alignment vertical="top"/>
    </xf>
    <xf numFmtId="0" fontId="55" fillId="0" borderId="0">
      <alignment vertical="top"/>
    </xf>
    <xf numFmtId="0" fontId="55" fillId="0" borderId="0">
      <alignment vertical="top"/>
    </xf>
    <xf numFmtId="0" fontId="56" fillId="0" borderId="0">
      <alignment vertical="top"/>
    </xf>
    <xf numFmtId="0" fontId="56"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6" fillId="0" borderId="0">
      <alignment vertical="top"/>
    </xf>
    <xf numFmtId="0" fontId="55" fillId="0" borderId="0">
      <alignment vertical="top"/>
    </xf>
    <xf numFmtId="0" fontId="55" fillId="0" borderId="0">
      <alignment vertical="top"/>
    </xf>
    <xf numFmtId="0" fontId="56" fillId="0" borderId="0">
      <alignment vertical="top"/>
    </xf>
    <xf numFmtId="0" fontId="56"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6" fillId="0" borderId="0">
      <alignment vertical="top"/>
    </xf>
    <xf numFmtId="0" fontId="55" fillId="0" borderId="0">
      <alignment vertical="top"/>
    </xf>
    <xf numFmtId="0" fontId="55" fillId="0" borderId="0">
      <alignment vertical="top"/>
    </xf>
    <xf numFmtId="0" fontId="56" fillId="0" borderId="0">
      <alignment vertical="top"/>
    </xf>
    <xf numFmtId="0" fontId="56"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6"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6" fillId="0" borderId="0">
      <alignment vertical="top"/>
    </xf>
    <xf numFmtId="0" fontId="55" fillId="0" borderId="0">
      <alignment vertical="top"/>
    </xf>
    <xf numFmtId="0" fontId="55" fillId="0" borderId="0">
      <alignment vertical="top"/>
    </xf>
    <xf numFmtId="0" fontId="56" fillId="0" borderId="0">
      <alignment vertical="top"/>
    </xf>
    <xf numFmtId="0" fontId="56"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6"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6" fillId="0" borderId="0">
      <alignment vertical="top"/>
    </xf>
    <xf numFmtId="0" fontId="56"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6"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6" fillId="0" borderId="0">
      <alignment vertical="top"/>
    </xf>
    <xf numFmtId="0" fontId="56"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6" fillId="0" borderId="0">
      <alignment vertical="top"/>
    </xf>
    <xf numFmtId="0" fontId="55" fillId="0" borderId="0">
      <alignment vertical="top"/>
    </xf>
    <xf numFmtId="0" fontId="55" fillId="0" borderId="0">
      <alignment vertical="top"/>
    </xf>
    <xf numFmtId="0" fontId="56" fillId="0" borderId="0">
      <alignment vertical="top"/>
    </xf>
    <xf numFmtId="0" fontId="56"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6" fillId="0" borderId="0">
      <alignment vertical="top"/>
    </xf>
    <xf numFmtId="0" fontId="55" fillId="0" borderId="0">
      <alignment vertical="top"/>
    </xf>
    <xf numFmtId="0" fontId="55" fillId="0" borderId="0">
      <alignment vertical="top"/>
    </xf>
    <xf numFmtId="0" fontId="56" fillId="0" borderId="0">
      <alignment vertical="top"/>
    </xf>
    <xf numFmtId="0" fontId="56" fillId="0" borderId="0">
      <alignment vertical="top"/>
    </xf>
    <xf numFmtId="0" fontId="55" fillId="0" borderId="0">
      <alignment vertical="top"/>
    </xf>
    <xf numFmtId="0" fontId="55" fillId="0" borderId="0">
      <alignment vertical="top"/>
    </xf>
    <xf numFmtId="0" fontId="55" fillId="0" borderId="0">
      <alignment vertical="top"/>
    </xf>
    <xf numFmtId="0" fontId="56" fillId="0" borderId="0">
      <alignment vertical="top"/>
    </xf>
    <xf numFmtId="0" fontId="55" fillId="0" borderId="0">
      <alignment vertical="top"/>
    </xf>
    <xf numFmtId="0" fontId="55" fillId="0" borderId="0">
      <alignment vertical="top"/>
    </xf>
    <xf numFmtId="0" fontId="56" fillId="0" borderId="0">
      <alignment vertical="top"/>
    </xf>
    <xf numFmtId="0" fontId="56"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6" fillId="0" borderId="0">
      <alignment vertical="top"/>
    </xf>
    <xf numFmtId="0" fontId="55" fillId="0" borderId="0">
      <alignment vertical="top"/>
    </xf>
    <xf numFmtId="0" fontId="55" fillId="0" borderId="0">
      <alignment vertical="top"/>
    </xf>
    <xf numFmtId="0" fontId="56" fillId="0" borderId="0">
      <alignment vertical="top"/>
    </xf>
    <xf numFmtId="0" fontId="56"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6" fillId="0" borderId="0">
      <alignment vertical="top"/>
    </xf>
    <xf numFmtId="0" fontId="55" fillId="0" borderId="0">
      <alignment vertical="top"/>
    </xf>
    <xf numFmtId="0" fontId="55" fillId="0" borderId="0">
      <alignment vertical="top"/>
    </xf>
    <xf numFmtId="0" fontId="56" fillId="0" borderId="0">
      <alignment vertical="top"/>
    </xf>
    <xf numFmtId="0" fontId="56"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6"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6" fillId="0" borderId="0">
      <alignment vertical="top"/>
    </xf>
    <xf numFmtId="0" fontId="56"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6"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6" fillId="0" borderId="0">
      <alignment vertical="top"/>
    </xf>
    <xf numFmtId="0" fontId="56"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6" fillId="0" borderId="0">
      <alignment vertical="top"/>
    </xf>
    <xf numFmtId="0" fontId="55" fillId="0" borderId="0">
      <alignment vertical="top"/>
    </xf>
    <xf numFmtId="0" fontId="55" fillId="0" borderId="0">
      <alignment vertical="top"/>
    </xf>
    <xf numFmtId="0" fontId="56" fillId="0" borderId="0">
      <alignment vertical="top"/>
    </xf>
    <xf numFmtId="0" fontId="56"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6" fillId="0" borderId="0">
      <alignment vertical="top"/>
    </xf>
    <xf numFmtId="0" fontId="55" fillId="0" borderId="0">
      <alignment vertical="top"/>
    </xf>
    <xf numFmtId="0" fontId="55" fillId="0" borderId="0">
      <alignment vertical="top"/>
    </xf>
    <xf numFmtId="0" fontId="56" fillId="0" borderId="0">
      <alignment vertical="top"/>
    </xf>
    <xf numFmtId="0" fontId="56"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6" fillId="0" borderId="0">
      <alignment vertical="top"/>
    </xf>
    <xf numFmtId="0" fontId="55" fillId="0" borderId="0">
      <alignment vertical="top"/>
    </xf>
    <xf numFmtId="0" fontId="55" fillId="0" borderId="0">
      <alignment vertical="top"/>
    </xf>
    <xf numFmtId="0" fontId="56" fillId="0" borderId="0">
      <alignment vertical="top"/>
    </xf>
    <xf numFmtId="0" fontId="56"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6" fillId="0" borderId="0">
      <alignment vertical="top"/>
    </xf>
    <xf numFmtId="0" fontId="56"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6" fillId="0" borderId="0">
      <alignment vertical="top"/>
    </xf>
    <xf numFmtId="0" fontId="56" fillId="0" borderId="0">
      <alignment vertical="top"/>
    </xf>
    <xf numFmtId="0" fontId="56" fillId="0" borderId="0">
      <alignment vertical="top"/>
    </xf>
    <xf numFmtId="0" fontId="56"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6" fillId="0" borderId="0">
      <alignment vertical="top"/>
    </xf>
    <xf numFmtId="0" fontId="56"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6" fillId="0" borderId="0">
      <alignment vertical="top"/>
    </xf>
    <xf numFmtId="0" fontId="56" fillId="0" borderId="0">
      <alignment vertical="top"/>
    </xf>
    <xf numFmtId="0" fontId="56" fillId="0" borderId="0">
      <alignment vertical="top"/>
    </xf>
    <xf numFmtId="0" fontId="56"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6" fillId="0" borderId="0">
      <alignment vertical="top"/>
    </xf>
    <xf numFmtId="0" fontId="56"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6" fillId="0" borderId="0">
      <alignment vertical="top"/>
    </xf>
    <xf numFmtId="0" fontId="56" fillId="0" borderId="0">
      <alignment vertical="top"/>
    </xf>
    <xf numFmtId="0" fontId="56" fillId="0" borderId="0">
      <alignment vertical="top"/>
    </xf>
    <xf numFmtId="0" fontId="56"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6" fillId="0" borderId="0">
      <alignment vertical="top"/>
    </xf>
    <xf numFmtId="0" fontId="56"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6" fillId="0" borderId="0">
      <alignment vertical="top"/>
    </xf>
    <xf numFmtId="0" fontId="56" fillId="0" borderId="0">
      <alignment vertical="top"/>
    </xf>
    <xf numFmtId="0" fontId="56" fillId="0" borderId="0">
      <alignment vertical="top"/>
    </xf>
    <xf numFmtId="0" fontId="56"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6" fillId="0" borderId="0">
      <alignment vertical="top"/>
    </xf>
    <xf numFmtId="0" fontId="56"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6" fillId="0" borderId="0">
      <alignment vertical="top"/>
    </xf>
    <xf numFmtId="0" fontId="56" fillId="0" borderId="0">
      <alignment vertical="top"/>
    </xf>
    <xf numFmtId="0" fontId="56" fillId="0" borderId="0">
      <alignment vertical="top"/>
    </xf>
    <xf numFmtId="0" fontId="56"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6" fillId="0" borderId="0">
      <alignment vertical="top"/>
    </xf>
    <xf numFmtId="0" fontId="56"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6"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6" fillId="0" borderId="0"/>
    <xf numFmtId="0" fontId="6" fillId="0" borderId="0"/>
    <xf numFmtId="0" fontId="6" fillId="0" borderId="0"/>
    <xf numFmtId="0" fontId="6" fillId="0" borderId="0"/>
    <xf numFmtId="0" fontId="6" fillId="0" borderId="0"/>
    <xf numFmtId="0" fontId="6" fillId="0" borderId="0"/>
    <xf numFmtId="0" fontId="55" fillId="0" borderId="0">
      <alignment vertical="top"/>
    </xf>
    <xf numFmtId="0" fontId="55" fillId="0" borderId="0">
      <alignment vertical="top"/>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6" fillId="0" borderId="0"/>
    <xf numFmtId="0" fontId="6" fillId="0" borderId="0"/>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6" fillId="0" borderId="0">
      <alignment vertical="top"/>
    </xf>
    <xf numFmtId="0" fontId="56"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6" fillId="0" borderId="0"/>
    <xf numFmtId="0" fontId="6" fillId="0" borderId="0"/>
    <xf numFmtId="0" fontId="6" fillId="0" borderId="0"/>
    <xf numFmtId="0" fontId="6" fillId="0" borderId="0"/>
    <xf numFmtId="0" fontId="6" fillId="0" borderId="0"/>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6" fillId="0" borderId="0"/>
    <xf numFmtId="0" fontId="6" fillId="0" borderId="0"/>
    <xf numFmtId="0" fontId="6" fillId="0" borderId="0"/>
    <xf numFmtId="0" fontId="6" fillId="0" borderId="0"/>
    <xf numFmtId="0" fontId="6" fillId="0" borderId="0"/>
    <xf numFmtId="0" fontId="6" fillId="0" borderId="0"/>
    <xf numFmtId="0" fontId="55" fillId="0" borderId="0">
      <alignment vertical="top"/>
    </xf>
    <xf numFmtId="0" fontId="6" fillId="0" borderId="0"/>
    <xf numFmtId="0" fontId="6" fillId="0" borderId="0"/>
    <xf numFmtId="0" fontId="6" fillId="0" borderId="0"/>
    <xf numFmtId="0" fontId="6" fillId="0" borderId="0"/>
    <xf numFmtId="0" fontId="6" fillId="0" borderId="0"/>
    <xf numFmtId="0" fontId="55" fillId="0" borderId="0">
      <alignment vertical="top"/>
    </xf>
    <xf numFmtId="0" fontId="6" fillId="0" borderId="0"/>
    <xf numFmtId="0" fontId="6" fillId="0" borderId="0"/>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6" fillId="0" borderId="0"/>
    <xf numFmtId="0" fontId="6" fillId="0" borderId="0"/>
    <xf numFmtId="0" fontId="6" fillId="0" borderId="0"/>
    <xf numFmtId="0" fontId="6" fillId="0" borderId="0"/>
    <xf numFmtId="0" fontId="55" fillId="0" borderId="0">
      <alignment vertical="top"/>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6" fillId="0" borderId="0"/>
    <xf numFmtId="0" fontId="6" fillId="0" borderId="0"/>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6" fillId="0" borderId="0">
      <alignment vertical="top"/>
    </xf>
    <xf numFmtId="0" fontId="55" fillId="0" borderId="0">
      <alignment vertical="top"/>
    </xf>
    <xf numFmtId="0" fontId="55" fillId="0" borderId="0">
      <alignment vertical="top"/>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5" fillId="0" borderId="0">
      <alignment vertical="top"/>
    </xf>
    <xf numFmtId="0" fontId="55" fillId="0" borderId="0">
      <alignment vertical="top"/>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7" fillId="0" borderId="0"/>
    <xf numFmtId="0" fontId="55" fillId="0" borderId="0" applyFill="0" applyBorder="0">
      <alignment vertical="top"/>
    </xf>
    <xf numFmtId="0" fontId="6" fillId="0" borderId="0" applyFill="0" applyBorder="0" applyAlignment="0" applyProtection="0"/>
    <xf numFmtId="0" fontId="6" fillId="0" borderId="0" applyFill="0" applyBorder="0" applyAlignment="0" applyProtection="0"/>
    <xf numFmtId="0" fontId="6" fillId="0" borderId="0" applyFill="0" applyBorder="0" applyAlignment="0" applyProtection="0"/>
    <xf numFmtId="0" fontId="6" fillId="0" borderId="0" applyFill="0" applyBorder="0" applyAlignment="0" applyProtection="0"/>
    <xf numFmtId="3" fontId="58" fillId="0" borderId="0"/>
    <xf numFmtId="3" fontId="59" fillId="0" borderId="0"/>
    <xf numFmtId="3" fontId="59" fillId="0" borderId="0"/>
    <xf numFmtId="0" fontId="60" fillId="0" borderId="0" applyNumberFormat="0" applyFill="0" applyBorder="0" applyAlignment="0" applyProtection="0"/>
    <xf numFmtId="166" fontId="61" fillId="0" borderId="44" applyAlignment="0" applyProtection="0"/>
    <xf numFmtId="167" fontId="61" fillId="0" borderId="44" applyAlignment="0" applyProtection="0"/>
    <xf numFmtId="168" fontId="61" fillId="0" borderId="44" applyAlignment="0" applyProtection="0"/>
    <xf numFmtId="167" fontId="61" fillId="0" borderId="44" applyAlignment="0" applyProtection="0"/>
    <xf numFmtId="0" fontId="62" fillId="0" borderId="0"/>
    <xf numFmtId="0" fontId="62" fillId="0" borderId="0"/>
    <xf numFmtId="0" fontId="62" fillId="0" borderId="0"/>
    <xf numFmtId="169" fontId="6" fillId="0" borderId="0"/>
    <xf numFmtId="169" fontId="6" fillId="0" borderId="0"/>
    <xf numFmtId="169" fontId="6" fillId="0" borderId="0"/>
    <xf numFmtId="169" fontId="6" fillId="0" borderId="0"/>
    <xf numFmtId="169" fontId="6" fillId="0" borderId="0"/>
    <xf numFmtId="169" fontId="6" fillId="0" borderId="0"/>
    <xf numFmtId="169" fontId="6" fillId="0" borderId="0"/>
    <xf numFmtId="169" fontId="6" fillId="0" borderId="0"/>
    <xf numFmtId="169" fontId="6" fillId="0" borderId="0"/>
    <xf numFmtId="169" fontId="6" fillId="0" borderId="0"/>
    <xf numFmtId="169" fontId="6" fillId="0" borderId="0"/>
    <xf numFmtId="169" fontId="6" fillId="0" borderId="0"/>
    <xf numFmtId="169" fontId="6" fillId="0" borderId="0"/>
    <xf numFmtId="169" fontId="6" fillId="0" borderId="0"/>
    <xf numFmtId="169" fontId="6" fillId="0" borderId="0"/>
    <xf numFmtId="169" fontId="6" fillId="0" borderId="0"/>
    <xf numFmtId="169" fontId="6" fillId="0" borderId="0"/>
    <xf numFmtId="169" fontId="6" fillId="0" borderId="0"/>
    <xf numFmtId="169" fontId="6" fillId="0" borderId="0"/>
    <xf numFmtId="169" fontId="6" fillId="0" borderId="0"/>
    <xf numFmtId="169" fontId="6" fillId="0" borderId="0"/>
    <xf numFmtId="169" fontId="6" fillId="0" borderId="0"/>
    <xf numFmtId="169" fontId="6" fillId="0" borderId="0"/>
    <xf numFmtId="169" fontId="6" fillId="0" borderId="0"/>
    <xf numFmtId="169" fontId="6" fillId="0" borderId="0"/>
    <xf numFmtId="169" fontId="6" fillId="0" borderId="0"/>
    <xf numFmtId="169" fontId="6" fillId="0" borderId="0"/>
    <xf numFmtId="169" fontId="6" fillId="0" borderId="0"/>
    <xf numFmtId="169" fontId="6" fillId="0" borderId="0"/>
    <xf numFmtId="169" fontId="6" fillId="0" borderId="0"/>
    <xf numFmtId="169" fontId="6" fillId="0" borderId="0"/>
    <xf numFmtId="169" fontId="6" fillId="0" borderId="0"/>
    <xf numFmtId="170" fontId="6" fillId="0" borderId="0" applyFill="0" applyBorder="0" applyAlignment="0" applyProtection="0"/>
    <xf numFmtId="43" fontId="63" fillId="0" borderId="0" applyFont="0" applyFill="0" applyBorder="0" applyAlignment="0" applyProtection="0"/>
    <xf numFmtId="164" fontId="6" fillId="0" borderId="0" applyFill="0" applyBorder="0" applyAlignment="0" applyProtection="0"/>
    <xf numFmtId="171" fontId="6" fillId="0" borderId="0" applyFill="0" applyBorder="0" applyAlignment="0" applyProtection="0"/>
    <xf numFmtId="172" fontId="6" fillId="0" borderId="0" applyFill="0" applyBorder="0" applyAlignment="0" applyProtection="0"/>
    <xf numFmtId="173" fontId="6" fillId="0" borderId="0" applyFill="0" applyBorder="0" applyAlignment="0" applyProtection="0"/>
    <xf numFmtId="170" fontId="6" fillId="0" borderId="0" applyFill="0" applyBorder="0" applyAlignment="0" applyProtection="0"/>
    <xf numFmtId="174" fontId="6" fillId="0" borderId="0" applyFill="0" applyBorder="0" applyAlignment="0" applyProtection="0"/>
    <xf numFmtId="170" fontId="6" fillId="0" borderId="0" applyFill="0" applyBorder="0" applyAlignment="0" applyProtection="0"/>
    <xf numFmtId="170" fontId="6" fillId="0" borderId="0" applyFill="0" applyBorder="0" applyAlignment="0" applyProtection="0"/>
    <xf numFmtId="170" fontId="6" fillId="0" borderId="0" applyFill="0" applyBorder="0" applyAlignment="0" applyProtection="0"/>
    <xf numFmtId="3" fontId="6" fillId="0" borderId="0" applyFill="0" applyBorder="0" applyAlignment="0" applyProtection="0"/>
    <xf numFmtId="3" fontId="6" fillId="0" borderId="0" applyFill="0" applyBorder="0" applyAlignment="0" applyProtection="0"/>
    <xf numFmtId="3" fontId="6" fillId="0" borderId="0" applyFill="0" applyBorder="0" applyAlignment="0" applyProtection="0"/>
    <xf numFmtId="175" fontId="6" fillId="0" borderId="0" applyFill="0" applyBorder="0" applyAlignment="0" applyProtection="0"/>
    <xf numFmtId="171" fontId="6" fillId="0" borderId="0" applyFill="0" applyBorder="0" applyAlignment="0" applyProtection="0"/>
    <xf numFmtId="176" fontId="6" fillId="0" borderId="0" applyFill="0" applyBorder="0" applyAlignment="0" applyProtection="0"/>
    <xf numFmtId="171" fontId="6" fillId="0" borderId="0" applyFill="0" applyBorder="0" applyAlignment="0" applyProtection="0"/>
    <xf numFmtId="177" fontId="64" fillId="0" borderId="0">
      <alignment vertical="center"/>
    </xf>
    <xf numFmtId="0" fontId="6" fillId="0" borderId="0" applyFill="0" applyBorder="0" applyAlignment="0" applyProtection="0"/>
    <xf numFmtId="0" fontId="6" fillId="0" borderId="0" applyFill="0" applyBorder="0" applyAlignment="0" applyProtection="0"/>
    <xf numFmtId="0" fontId="6" fillId="0" borderId="0" applyFill="0" applyBorder="0" applyAlignment="0" applyProtection="0"/>
    <xf numFmtId="0" fontId="65" fillId="0" borderId="0">
      <alignment horizontal="center" vertical="center" wrapText="1"/>
    </xf>
    <xf numFmtId="178" fontId="6" fillId="0" borderId="0" applyFill="0" applyBorder="0" applyAlignment="0" applyProtection="0"/>
    <xf numFmtId="174" fontId="6" fillId="0" borderId="0" applyFill="0" applyBorder="0" applyAlignment="0" applyProtection="0"/>
    <xf numFmtId="179" fontId="6" fillId="0" borderId="0" applyFill="0" applyBorder="0" applyAlignment="0" applyProtection="0"/>
    <xf numFmtId="179" fontId="6" fillId="0" borderId="0" applyFill="0" applyBorder="0" applyAlignment="0" applyProtection="0"/>
    <xf numFmtId="179" fontId="6" fillId="0" borderId="0" applyFill="0" applyBorder="0" applyAlignment="0" applyProtection="0"/>
    <xf numFmtId="179" fontId="6" fillId="0" borderId="0" applyFill="0" applyBorder="0" applyAlignment="0" applyProtection="0"/>
    <xf numFmtId="0" fontId="6" fillId="0" borderId="0"/>
    <xf numFmtId="2" fontId="6" fillId="0" borderId="0" applyFill="0" applyBorder="0" applyAlignment="0" applyProtection="0"/>
    <xf numFmtId="2" fontId="6" fillId="0" borderId="0" applyFill="0" applyBorder="0" applyAlignment="0" applyProtection="0"/>
    <xf numFmtId="2" fontId="6" fillId="0" borderId="0" applyFill="0" applyBorder="0" applyAlignment="0" applyProtection="0"/>
    <xf numFmtId="180" fontId="66" fillId="0" borderId="45">
      <alignment horizontal="right"/>
    </xf>
    <xf numFmtId="180" fontId="66" fillId="0" borderId="45">
      <alignment horizontal="right"/>
    </xf>
    <xf numFmtId="180" fontId="66" fillId="0" borderId="45">
      <alignment horizontal="right"/>
    </xf>
    <xf numFmtId="180" fontId="66" fillId="0" borderId="45">
      <alignment horizontal="right"/>
    </xf>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67" fillId="4" borderId="0"/>
    <xf numFmtId="0" fontId="68" fillId="0" borderId="46" applyNumberFormat="0" applyAlignment="0" applyProtection="0"/>
    <xf numFmtId="0" fontId="68" fillId="0" borderId="46" applyNumberFormat="0" applyAlignment="0" applyProtection="0"/>
    <xf numFmtId="0" fontId="68" fillId="0" borderId="46" applyNumberFormat="0" applyAlignment="0" applyProtection="0"/>
    <xf numFmtId="0" fontId="68" fillId="0" borderId="47">
      <alignment horizontal="left" vertical="center"/>
    </xf>
    <xf numFmtId="0" fontId="68" fillId="0" borderId="47">
      <alignment horizontal="left" vertical="center"/>
    </xf>
    <xf numFmtId="0" fontId="68" fillId="0" borderId="47">
      <alignment horizontal="left" vertical="center"/>
    </xf>
    <xf numFmtId="0" fontId="69" fillId="0" borderId="0" applyNumberFormat="0" applyFill="0" applyBorder="0" applyAlignment="0" applyProtection="0"/>
    <xf numFmtId="0" fontId="70" fillId="0" borderId="48" applyNumberFormat="0" applyFill="0" applyAlignment="0" applyProtection="0"/>
    <xf numFmtId="0" fontId="70" fillId="0" borderId="48" applyNumberFormat="0" applyFill="0" applyAlignment="0" applyProtection="0"/>
    <xf numFmtId="0" fontId="70" fillId="0" borderId="48" applyNumberFormat="0" applyFill="0" applyAlignment="0" applyProtection="0"/>
    <xf numFmtId="0" fontId="70" fillId="0" borderId="48" applyNumberFormat="0" applyFill="0" applyAlignment="0" applyProtection="0"/>
    <xf numFmtId="0" fontId="70" fillId="0" borderId="48" applyNumberFormat="0" applyFill="0" applyAlignment="0" applyProtection="0"/>
    <xf numFmtId="0" fontId="70" fillId="0" borderId="48" applyNumberFormat="0" applyFill="0" applyAlignment="0" applyProtection="0"/>
    <xf numFmtId="0" fontId="70" fillId="0" borderId="48" applyNumberFormat="0" applyFill="0" applyAlignment="0" applyProtection="0"/>
    <xf numFmtId="0" fontId="70" fillId="0" borderId="48" applyNumberFormat="0" applyFill="0" applyAlignment="0" applyProtection="0"/>
    <xf numFmtId="0" fontId="70" fillId="0" borderId="48" applyNumberFormat="0" applyFill="0" applyAlignment="0" applyProtection="0"/>
    <xf numFmtId="0" fontId="68" fillId="0" borderId="0" applyNumberFormat="0" applyFill="0" applyBorder="0" applyAlignment="0" applyProtection="0"/>
    <xf numFmtId="0" fontId="71" fillId="0" borderId="49" applyNumberFormat="0" applyFill="0" applyAlignment="0" applyProtection="0"/>
    <xf numFmtId="0" fontId="71" fillId="0" borderId="49" applyNumberFormat="0" applyFill="0" applyAlignment="0" applyProtection="0"/>
    <xf numFmtId="0" fontId="71" fillId="0" borderId="49" applyNumberFormat="0" applyFill="0" applyAlignment="0" applyProtection="0"/>
    <xf numFmtId="0" fontId="71" fillId="0" borderId="49" applyNumberFormat="0" applyFill="0" applyAlignment="0" applyProtection="0"/>
    <xf numFmtId="0" fontId="71" fillId="0" borderId="49" applyNumberFormat="0" applyFill="0" applyAlignment="0" applyProtection="0"/>
    <xf numFmtId="0" fontId="71" fillId="0" borderId="49" applyNumberFormat="0" applyFill="0" applyAlignment="0" applyProtection="0"/>
    <xf numFmtId="0" fontId="71" fillId="0" borderId="49" applyNumberFormat="0" applyFill="0" applyAlignment="0" applyProtection="0"/>
    <xf numFmtId="0" fontId="71" fillId="0" borderId="49" applyNumberFormat="0" applyFill="0" applyAlignment="0" applyProtection="0"/>
    <xf numFmtId="0" fontId="71" fillId="0" borderId="49" applyNumberFormat="0" applyFill="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alignment vertical="top"/>
      <protection locked="0"/>
    </xf>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181" fontId="6" fillId="0" borderId="0" applyFill="0" applyBorder="0" applyAlignment="0" applyProtection="0"/>
    <xf numFmtId="182" fontId="6" fillId="0" borderId="0" applyFill="0" applyBorder="0" applyAlignment="0" applyProtection="0"/>
    <xf numFmtId="37" fontId="74" fillId="0" borderId="0"/>
    <xf numFmtId="37" fontId="74" fillId="0" borderId="0"/>
    <xf numFmtId="37" fontId="74" fillId="0" borderId="0"/>
    <xf numFmtId="37" fontId="74" fillId="0" borderId="0"/>
    <xf numFmtId="0" fontId="75" fillId="0" borderId="0"/>
    <xf numFmtId="0" fontId="75" fillId="0" borderId="0"/>
    <xf numFmtId="0" fontId="75" fillId="0" borderId="0"/>
    <xf numFmtId="0" fontId="75" fillId="0" borderId="0"/>
    <xf numFmtId="164" fontId="6" fillId="0" borderId="0"/>
    <xf numFmtId="164" fontId="6" fillId="0" borderId="0"/>
    <xf numFmtId="164" fontId="6" fillId="0" borderId="0"/>
    <xf numFmtId="164" fontId="6" fillId="0" borderId="0"/>
    <xf numFmtId="0" fontId="6" fillId="0" borderId="0"/>
    <xf numFmtId="0" fontId="6" fillId="0" borderId="0">
      <alignment vertical="top"/>
    </xf>
    <xf numFmtId="0" fontId="6" fillId="0" borderId="0">
      <alignment vertical="top"/>
    </xf>
    <xf numFmtId="0" fontId="1" fillId="0" borderId="0"/>
    <xf numFmtId="0" fontId="1" fillId="0" borderId="0"/>
    <xf numFmtId="0" fontId="1" fillId="0" borderId="0"/>
    <xf numFmtId="0" fontId="6" fillId="0" borderId="0"/>
    <xf numFmtId="0" fontId="6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3" fillId="0" borderId="0"/>
    <xf numFmtId="0" fontId="6" fillId="0" borderId="0"/>
    <xf numFmtId="0" fontId="6" fillId="0" borderId="0"/>
    <xf numFmtId="0" fontId="6" fillId="0" borderId="0"/>
    <xf numFmtId="0" fontId="6" fillId="0" borderId="0"/>
    <xf numFmtId="0" fontId="6" fillId="0" borderId="0"/>
    <xf numFmtId="0" fontId="6" fillId="0" borderId="0">
      <alignment vertical="top"/>
    </xf>
    <xf numFmtId="0" fontId="1" fillId="0" borderId="0"/>
    <xf numFmtId="0" fontId="63" fillId="0" borderId="0"/>
    <xf numFmtId="0" fontId="6" fillId="0" borderId="0"/>
    <xf numFmtId="0" fontId="6" fillId="0" borderId="0"/>
    <xf numFmtId="0" fontId="6" fillId="0" borderId="0">
      <alignment vertical="top"/>
    </xf>
    <xf numFmtId="0" fontId="63" fillId="6" borderId="50" applyNumberFormat="0" applyFont="0" applyAlignment="0" applyProtection="0"/>
    <xf numFmtId="0" fontId="63" fillId="6" borderId="50" applyNumberFormat="0" applyFont="0" applyAlignment="0" applyProtection="0"/>
    <xf numFmtId="0" fontId="63" fillId="6" borderId="50" applyNumberFormat="0" applyFont="0" applyAlignment="0" applyProtection="0"/>
    <xf numFmtId="0" fontId="63" fillId="6" borderId="50" applyNumberFormat="0" applyFont="0" applyAlignment="0" applyProtection="0"/>
    <xf numFmtId="0" fontId="63" fillId="6" borderId="50" applyNumberFormat="0" applyFont="0" applyAlignment="0" applyProtection="0"/>
    <xf numFmtId="0" fontId="63" fillId="6" borderId="50" applyNumberFormat="0" applyFont="0" applyAlignment="0" applyProtection="0"/>
    <xf numFmtId="0" fontId="63" fillId="6" borderId="50" applyNumberFormat="0" applyFont="0" applyAlignment="0" applyProtection="0"/>
    <xf numFmtId="0" fontId="63" fillId="6" borderId="50" applyNumberFormat="0" applyFont="0" applyAlignment="0" applyProtection="0"/>
    <xf numFmtId="0" fontId="63" fillId="6" borderId="50" applyNumberFormat="0" applyFont="0" applyAlignment="0" applyProtection="0"/>
    <xf numFmtId="10" fontId="6" fillId="0" borderId="0" applyFill="0" applyBorder="0" applyAlignment="0" applyProtection="0"/>
    <xf numFmtId="10" fontId="6" fillId="0" borderId="0" applyFill="0" applyBorder="0" applyAlignment="0" applyProtection="0"/>
    <xf numFmtId="10" fontId="6" fillId="0" borderId="0" applyFill="0" applyBorder="0" applyAlignment="0" applyProtection="0"/>
    <xf numFmtId="10" fontId="6" fillId="0" borderId="0" applyFill="0" applyBorder="0" applyAlignment="0" applyProtection="0"/>
    <xf numFmtId="9" fontId="6" fillId="0" borderId="0" applyFill="0" applyBorder="0" applyAlignment="0" applyProtection="0"/>
    <xf numFmtId="9" fontId="6" fillId="0" borderId="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3" fontId="76" fillId="0" borderId="0"/>
    <xf numFmtId="3" fontId="77" fillId="0" borderId="0"/>
    <xf numFmtId="3" fontId="77" fillId="0" borderId="0"/>
    <xf numFmtId="0" fontId="6" fillId="7" borderId="51">
      <alignment horizontal="center" vertical="center" wrapText="1"/>
    </xf>
    <xf numFmtId="0" fontId="78"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6" fillId="0" borderId="52" applyNumberFormat="0" applyFill="0" applyAlignment="0" applyProtection="0"/>
    <xf numFmtId="0" fontId="80" fillId="0" borderId="53" applyNumberFormat="0" applyFill="0" applyAlignment="0" applyProtection="0"/>
    <xf numFmtId="0" fontId="80" fillId="0" borderId="53" applyNumberFormat="0" applyFill="0" applyAlignment="0" applyProtection="0"/>
    <xf numFmtId="0" fontId="80" fillId="0" borderId="53" applyNumberFormat="0" applyFill="0" applyAlignment="0" applyProtection="0"/>
    <xf numFmtId="0" fontId="80" fillId="0" borderId="53" applyNumberFormat="0" applyFill="0" applyAlignment="0" applyProtection="0"/>
    <xf numFmtId="0" fontId="80" fillId="0" borderId="53" applyNumberFormat="0" applyFill="0" applyAlignment="0" applyProtection="0"/>
    <xf numFmtId="0" fontId="80" fillId="0" borderId="53" applyNumberFormat="0" applyFill="0" applyAlignment="0" applyProtection="0"/>
    <xf numFmtId="0" fontId="80" fillId="0" borderId="53" applyNumberFormat="0" applyFill="0" applyAlignment="0" applyProtection="0"/>
    <xf numFmtId="0" fontId="80" fillId="0" borderId="53" applyNumberFormat="0" applyFill="0" applyAlignment="0" applyProtection="0"/>
    <xf numFmtId="0" fontId="80" fillId="0" borderId="53" applyNumberFormat="0" applyFill="0" applyAlignment="0" applyProtection="0"/>
    <xf numFmtId="183" fontId="6" fillId="0" borderId="0" applyFill="0" applyBorder="0" applyAlignment="0" applyProtection="0"/>
    <xf numFmtId="184" fontId="6" fillId="0" borderId="0" applyFill="0" applyBorder="0" applyAlignment="0" applyProtection="0"/>
    <xf numFmtId="40" fontId="6" fillId="0" borderId="0" applyFill="0" applyBorder="0" applyAlignment="0" applyProtection="0"/>
    <xf numFmtId="38" fontId="6" fillId="0" borderId="0" applyFill="0" applyBorder="0" applyAlignment="0" applyProtection="0"/>
    <xf numFmtId="0" fontId="6" fillId="0" borderId="0" applyFill="0" applyBorder="0" applyAlignment="0" applyProtection="0"/>
    <xf numFmtId="0" fontId="6" fillId="0" borderId="0" applyFill="0" applyBorder="0" applyAlignment="0" applyProtection="0"/>
    <xf numFmtId="10" fontId="6" fillId="0" borderId="0" applyFill="0" applyBorder="0" applyAlignment="0" applyProtection="0"/>
    <xf numFmtId="0" fontId="81" fillId="0" borderId="0"/>
    <xf numFmtId="185" fontId="6" fillId="0" borderId="0" applyFill="0" applyBorder="0" applyAlignment="0" applyProtection="0"/>
    <xf numFmtId="186" fontId="6" fillId="0" borderId="0" applyFill="0" applyBorder="0" applyAlignment="0" applyProtection="0"/>
    <xf numFmtId="173" fontId="6" fillId="0" borderId="0" applyFill="0" applyBorder="0" applyAlignment="0" applyProtection="0"/>
    <xf numFmtId="187" fontId="6" fillId="0" borderId="0" applyFill="0" applyBorder="0" applyAlignment="0" applyProtection="0"/>
    <xf numFmtId="0" fontId="82" fillId="0" borderId="0"/>
    <xf numFmtId="0" fontId="92" fillId="0" borderId="0" applyNumberFormat="0" applyFill="0" applyBorder="0" applyAlignment="0" applyProtection="0">
      <alignment vertical="top"/>
      <protection locked="0"/>
    </xf>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vertical="top"/>
    </xf>
    <xf numFmtId="0" fontId="1" fillId="0" borderId="0">
      <alignment vertical="top"/>
    </xf>
    <xf numFmtId="0" fontId="1" fillId="0" borderId="0">
      <alignment vertical="top"/>
    </xf>
  </cellStyleXfs>
  <cellXfs count="498">
    <xf numFmtId="0" fontId="0" fillId="0" borderId="0" xfId="0"/>
    <xf numFmtId="0" fontId="3" fillId="0" borderId="2" xfId="0" applyFont="1" applyBorder="1" applyAlignment="1">
      <alignment horizontal="center" vertical="center" wrapText="1"/>
    </xf>
    <xf numFmtId="10" fontId="0" fillId="0" borderId="0" xfId="0" applyNumberFormat="1"/>
    <xf numFmtId="0" fontId="3" fillId="0" borderId="14" xfId="0" applyFont="1" applyBorder="1" applyAlignment="1">
      <alignment horizontal="center" vertical="center" wrapText="1"/>
    </xf>
    <xf numFmtId="0" fontId="3" fillId="0" borderId="9" xfId="0" applyFont="1" applyBorder="1" applyAlignment="1">
      <alignment horizontal="center" vertical="center" wrapText="1"/>
    </xf>
    <xf numFmtId="0" fontId="6" fillId="0" borderId="0" xfId="0" applyFont="1"/>
    <xf numFmtId="0" fontId="6" fillId="0" borderId="14" xfId="0" applyFont="1" applyBorder="1"/>
    <xf numFmtId="0" fontId="6" fillId="0" borderId="0" xfId="0" applyFont="1" applyBorder="1" applyAlignment="1">
      <alignment horizontal="left"/>
    </xf>
    <xf numFmtId="0" fontId="6" fillId="0" borderId="0" xfId="0" applyFont="1" applyBorder="1"/>
    <xf numFmtId="0" fontId="3" fillId="0" borderId="0" xfId="0" applyFont="1" applyFill="1" applyBorder="1" applyAlignment="1">
      <alignment horizontal="left" vertical="center" wrapText="1"/>
    </xf>
    <xf numFmtId="0" fontId="7" fillId="0" borderId="0" xfId="0" applyFont="1" applyBorder="1" applyAlignment="1">
      <alignment horizontal="right"/>
    </xf>
    <xf numFmtId="0" fontId="7" fillId="0" borderId="17" xfId="0" applyFont="1" applyBorder="1" applyAlignment="1">
      <alignment horizontal="right"/>
    </xf>
    <xf numFmtId="0" fontId="3" fillId="0" borderId="3"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 xfId="0" applyFont="1" applyBorder="1" applyAlignment="1">
      <alignment horizontal="left" vertical="center" wrapText="1"/>
    </xf>
    <xf numFmtId="0" fontId="3" fillId="0" borderId="6" xfId="0" applyFont="1" applyBorder="1" applyAlignment="1">
      <alignment horizontal="center" vertical="center" wrapText="1"/>
    </xf>
    <xf numFmtId="0" fontId="3" fillId="0" borderId="2" xfId="0" applyFont="1" applyBorder="1" applyAlignment="1">
      <alignment horizontal="left" vertical="center" wrapText="1"/>
    </xf>
    <xf numFmtId="0" fontId="3" fillId="0" borderId="4" xfId="0" applyFont="1" applyBorder="1" applyAlignment="1">
      <alignment horizontal="left" vertical="center" wrapText="1"/>
    </xf>
    <xf numFmtId="0" fontId="9" fillId="0" borderId="0" xfId="0" applyFont="1"/>
    <xf numFmtId="0" fontId="10" fillId="0" borderId="0" xfId="0" applyFont="1"/>
    <xf numFmtId="0" fontId="13" fillId="0" borderId="1" xfId="0" applyFont="1" applyBorder="1" applyAlignment="1">
      <alignment horizontal="right" vertical="center" wrapText="1"/>
    </xf>
    <xf numFmtId="0" fontId="12" fillId="0" borderId="2" xfId="0" applyFont="1" applyBorder="1" applyAlignment="1">
      <alignment horizontal="center" vertical="center" wrapText="1"/>
    </xf>
    <xf numFmtId="2" fontId="13" fillId="0" borderId="1" xfId="0" applyNumberFormat="1" applyFont="1" applyBorder="1" applyAlignment="1">
      <alignment vertical="center" wrapText="1"/>
    </xf>
    <xf numFmtId="0" fontId="14" fillId="0" borderId="0" xfId="0" applyFont="1" applyBorder="1" applyAlignment="1">
      <alignment horizontal="right"/>
    </xf>
    <xf numFmtId="0" fontId="14" fillId="0" borderId="0" xfId="0" applyFont="1"/>
    <xf numFmtId="0" fontId="16" fillId="0" borderId="0" xfId="0" applyFont="1" applyBorder="1"/>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1" fontId="11" fillId="0" borderId="1" xfId="0" applyNumberFormat="1" applyFont="1" applyBorder="1"/>
    <xf numFmtId="0" fontId="11" fillId="0" borderId="1" xfId="0" applyFont="1" applyBorder="1"/>
    <xf numFmtId="0" fontId="12" fillId="0" borderId="20" xfId="0" applyFont="1" applyBorder="1" applyAlignment="1">
      <alignment vertical="center" wrapText="1"/>
    </xf>
    <xf numFmtId="0" fontId="18" fillId="0" borderId="0" xfId="0" applyFont="1" applyAlignment="1">
      <alignment horizontal="left" wrapText="1"/>
    </xf>
    <xf numFmtId="0" fontId="18" fillId="0" borderId="0" xfId="0" applyFont="1" applyAlignment="1">
      <alignment horizontal="right" wrapText="1"/>
    </xf>
    <xf numFmtId="0" fontId="17" fillId="0" borderId="0" xfId="0" applyFont="1" applyAlignment="1">
      <alignment wrapText="1"/>
    </xf>
    <xf numFmtId="0" fontId="19" fillId="0" borderId="0" xfId="0" applyFont="1" applyAlignment="1">
      <alignment horizontal="left" wrapText="1"/>
    </xf>
    <xf numFmtId="0" fontId="19" fillId="0" borderId="0" xfId="0" applyFont="1" applyAlignment="1">
      <alignment horizontal="right" wrapText="1"/>
    </xf>
    <xf numFmtId="0" fontId="18" fillId="0" borderId="0" xfId="0" applyFont="1" applyAlignment="1">
      <alignment wrapText="1"/>
    </xf>
    <xf numFmtId="0" fontId="0" fillId="0" borderId="0" xfId="0" applyAlignment="1">
      <alignment wrapText="1"/>
    </xf>
    <xf numFmtId="0" fontId="20" fillId="0" borderId="0" xfId="0" applyFont="1" applyAlignment="1">
      <alignment wrapText="1"/>
    </xf>
    <xf numFmtId="0" fontId="21" fillId="0" borderId="0" xfId="0" applyFont="1" applyAlignment="1">
      <alignment horizontal="right" wrapText="1"/>
    </xf>
    <xf numFmtId="0" fontId="21" fillId="0" borderId="0" xfId="0" applyFont="1" applyAlignment="1">
      <alignment horizontal="center" wrapText="1"/>
    </xf>
    <xf numFmtId="0" fontId="21" fillId="0" borderId="0" xfId="0" applyFont="1" applyAlignment="1">
      <alignment horizontal="left" wrapText="1"/>
    </xf>
    <xf numFmtId="0" fontId="21" fillId="0" borderId="0" xfId="0" applyFont="1" applyAlignment="1">
      <alignment wrapText="1"/>
    </xf>
    <xf numFmtId="1" fontId="6" fillId="0" borderId="0" xfId="0" applyNumberFormat="1" applyFont="1"/>
    <xf numFmtId="2" fontId="11" fillId="0" borderId="1" xfId="0" applyNumberFormat="1" applyFont="1" applyBorder="1"/>
    <xf numFmtId="1" fontId="13" fillId="0" borderId="4" xfId="0" applyNumberFormat="1" applyFont="1" applyBorder="1" applyAlignment="1">
      <alignment vertical="center" wrapText="1"/>
    </xf>
    <xf numFmtId="1" fontId="13" fillId="0" borderId="1" xfId="0" applyNumberFormat="1" applyFont="1" applyBorder="1" applyAlignment="1">
      <alignment vertical="center" wrapText="1"/>
    </xf>
    <xf numFmtId="1" fontId="13" fillId="0" borderId="0" xfId="0" applyNumberFormat="1" applyFont="1" applyBorder="1" applyAlignment="1">
      <alignment horizontal="right" vertical="center" wrapText="1"/>
    </xf>
    <xf numFmtId="0" fontId="5" fillId="0" borderId="0" xfId="0" applyFont="1" applyAlignment="1">
      <alignment horizontal="center" vertical="center" wrapText="1"/>
    </xf>
    <xf numFmtId="0" fontId="12" fillId="0" borderId="1"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10" fontId="13" fillId="0" borderId="1" xfId="0" applyNumberFormat="1" applyFont="1" applyBorder="1" applyAlignment="1">
      <alignment horizontal="right" vertical="center" wrapText="1"/>
    </xf>
    <xf numFmtId="0" fontId="13" fillId="0" borderId="16" xfId="0" applyFont="1" applyBorder="1" applyAlignment="1">
      <alignment horizontal="right" vertical="center" wrapText="1"/>
    </xf>
    <xf numFmtId="0" fontId="12" fillId="0" borderId="1" xfId="0" applyFont="1" applyFill="1" applyBorder="1" applyAlignment="1">
      <alignment horizontal="center" vertical="center" wrapText="1"/>
    </xf>
    <xf numFmtId="0" fontId="14" fillId="0" borderId="0" xfId="0" applyFont="1" applyFill="1"/>
    <xf numFmtId="2" fontId="13" fillId="0" borderId="4" xfId="0" applyNumberFormat="1" applyFont="1" applyFill="1" applyBorder="1" applyAlignment="1">
      <alignment horizontal="right" vertical="center" wrapText="1"/>
    </xf>
    <xf numFmtId="2" fontId="13" fillId="0" borderId="2" xfId="0" applyNumberFormat="1" applyFont="1" applyFill="1" applyBorder="1" applyAlignment="1">
      <alignment horizontal="right" vertical="center" wrapText="1"/>
    </xf>
    <xf numFmtId="0" fontId="16" fillId="0" borderId="0" xfId="0" applyFont="1" applyFill="1"/>
    <xf numFmtId="0" fontId="22" fillId="0" borderId="0" xfId="0" applyFont="1" applyFill="1" applyAlignment="1">
      <alignment horizontal="center" vertical="center"/>
    </xf>
    <xf numFmtId="0" fontId="12" fillId="0" borderId="3"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12" fillId="0" borderId="1" xfId="0" applyFont="1" applyFill="1" applyBorder="1" applyAlignment="1">
      <alignment horizontal="left" vertical="center" wrapText="1"/>
    </xf>
    <xf numFmtId="0" fontId="15" fillId="0" borderId="5" xfId="0" applyFont="1" applyFill="1" applyBorder="1" applyAlignment="1">
      <alignment horizontal="center" vertical="center" wrapText="1"/>
    </xf>
    <xf numFmtId="0" fontId="15" fillId="0" borderId="1" xfId="0" applyFont="1" applyFill="1" applyBorder="1" applyAlignment="1">
      <alignment horizontal="left" vertical="center" wrapText="1"/>
    </xf>
    <xf numFmtId="0" fontId="15" fillId="0" borderId="1" xfId="0" applyFont="1" applyFill="1" applyBorder="1" applyAlignment="1">
      <alignment horizontal="center" vertical="center" wrapText="1"/>
    </xf>
    <xf numFmtId="0" fontId="15" fillId="0" borderId="0" xfId="0" applyFont="1" applyFill="1"/>
    <xf numFmtId="0" fontId="13" fillId="0" borderId="0" xfId="0" applyFont="1" applyFill="1"/>
    <xf numFmtId="0" fontId="15" fillId="0" borderId="6" xfId="0" applyFont="1" applyFill="1" applyBorder="1" applyAlignment="1">
      <alignment horizontal="center" vertical="center" wrapText="1"/>
    </xf>
    <xf numFmtId="0" fontId="15" fillId="0" borderId="2" xfId="0" applyFont="1" applyFill="1" applyBorder="1" applyAlignment="1">
      <alignment horizontal="left" vertical="center" wrapText="1"/>
    </xf>
    <xf numFmtId="0" fontId="15" fillId="0" borderId="2" xfId="0" applyFont="1" applyFill="1" applyBorder="1" applyAlignment="1">
      <alignment horizontal="center" vertical="center" wrapText="1"/>
    </xf>
    <xf numFmtId="0" fontId="14" fillId="0" borderId="0" xfId="0" applyFont="1" applyFill="1" applyAlignment="1">
      <alignment horizontal="left"/>
    </xf>
    <xf numFmtId="0" fontId="14" fillId="0" borderId="0" xfId="0" applyFont="1" applyFill="1" applyAlignment="1">
      <alignment horizontal="center"/>
    </xf>
    <xf numFmtId="0" fontId="15" fillId="0" borderId="0" xfId="0" applyFont="1" applyFill="1" applyAlignment="1">
      <alignment horizontal="center" vertical="center" wrapText="1"/>
    </xf>
    <xf numFmtId="0" fontId="15" fillId="0" borderId="0" xfId="0" applyFont="1" applyFill="1" applyBorder="1" applyAlignment="1">
      <alignment horizontal="left" vertical="center" wrapText="1"/>
    </xf>
    <xf numFmtId="0" fontId="15" fillId="0" borderId="3" xfId="0" applyFont="1" applyFill="1" applyBorder="1" applyAlignment="1">
      <alignment horizontal="center" vertical="center" wrapText="1"/>
    </xf>
    <xf numFmtId="0" fontId="15" fillId="0" borderId="4" xfId="0" applyFont="1" applyFill="1" applyBorder="1" applyAlignment="1">
      <alignment horizontal="left" vertical="center" wrapText="1"/>
    </xf>
    <xf numFmtId="0" fontId="15" fillId="0" borderId="9" xfId="0" applyFont="1" applyFill="1" applyBorder="1" applyAlignment="1">
      <alignment horizontal="center" vertical="center" wrapText="1"/>
    </xf>
    <xf numFmtId="165" fontId="25" fillId="0" borderId="0" xfId="0" applyNumberFormat="1" applyFont="1" applyFill="1"/>
    <xf numFmtId="0" fontId="26" fillId="0" borderId="0" xfId="0" applyFont="1" applyFill="1"/>
    <xf numFmtId="0" fontId="15" fillId="0" borderId="18" xfId="0" applyFont="1" applyFill="1" applyBorder="1" applyAlignment="1">
      <alignment horizontal="center" vertical="center" wrapText="1"/>
    </xf>
    <xf numFmtId="0" fontId="15" fillId="0" borderId="19" xfId="0" applyFont="1" applyFill="1" applyBorder="1" applyAlignment="1">
      <alignment horizontal="center" vertical="center" wrapText="1"/>
    </xf>
    <xf numFmtId="0" fontId="25" fillId="0" borderId="0" xfId="0" applyFont="1" applyFill="1"/>
    <xf numFmtId="2" fontId="25" fillId="0" borderId="0" xfId="0" applyNumberFormat="1" applyFont="1" applyFill="1"/>
    <xf numFmtId="0" fontId="16" fillId="0" borderId="0" xfId="0" applyFont="1"/>
    <xf numFmtId="0" fontId="22" fillId="0" borderId="0" xfId="0" applyFont="1" applyAlignment="1">
      <alignment horizontal="center" vertical="center" wrapText="1"/>
    </xf>
    <xf numFmtId="0" fontId="29" fillId="0" borderId="0" xfId="0" applyFont="1" applyAlignment="1">
      <alignment horizontal="center"/>
    </xf>
    <xf numFmtId="0" fontId="12"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 xfId="0" applyFont="1" applyBorder="1" applyAlignment="1">
      <alignment horizontal="left" vertical="center" wrapText="1"/>
    </xf>
    <xf numFmtId="10" fontId="13" fillId="0" borderId="8" xfId="0" applyNumberFormat="1" applyFont="1" applyBorder="1" applyAlignment="1">
      <alignment horizontal="right" vertical="center" wrapText="1"/>
    </xf>
    <xf numFmtId="0" fontId="12" fillId="0" borderId="6" xfId="0" applyFont="1" applyBorder="1" applyAlignment="1">
      <alignment horizontal="center" vertical="center" wrapText="1"/>
    </xf>
    <xf numFmtId="0" fontId="12" fillId="0" borderId="2" xfId="0" applyFont="1" applyBorder="1" applyAlignment="1">
      <alignment horizontal="left" vertical="center" wrapText="1"/>
    </xf>
    <xf numFmtId="0" fontId="12" fillId="0" borderId="0" xfId="0" applyFont="1" applyBorder="1" applyAlignment="1">
      <alignment horizontal="center" vertical="center" wrapText="1"/>
    </xf>
    <xf numFmtId="2" fontId="16" fillId="0" borderId="0" xfId="0" applyNumberFormat="1" applyFont="1"/>
    <xf numFmtId="164" fontId="32" fillId="0" borderId="0" xfId="0" applyNumberFormat="1" applyFont="1"/>
    <xf numFmtId="0" fontId="12" fillId="0" borderId="13" xfId="0" applyFont="1" applyBorder="1" applyAlignment="1">
      <alignment horizontal="center" vertical="center" wrapText="1"/>
    </xf>
    <xf numFmtId="0" fontId="12" fillId="0" borderId="10" xfId="0" applyFont="1" applyBorder="1" applyAlignment="1">
      <alignment horizontal="left" vertical="center" wrapText="1"/>
    </xf>
    <xf numFmtId="0" fontId="13" fillId="0" borderId="11" xfId="0" applyFont="1" applyBorder="1" applyAlignment="1">
      <alignment horizontal="right" vertical="center" wrapText="1"/>
    </xf>
    <xf numFmtId="2" fontId="13" fillId="0" borderId="2" xfId="0" applyNumberFormat="1" applyFont="1" applyBorder="1" applyAlignment="1">
      <alignment horizontal="right" vertical="center" wrapText="1"/>
    </xf>
    <xf numFmtId="0" fontId="12" fillId="0" borderId="2" xfId="0" applyFont="1" applyBorder="1" applyAlignment="1">
      <alignment horizontal="right" vertical="center" wrapText="1"/>
    </xf>
    <xf numFmtId="0" fontId="12" fillId="0" borderId="12" xfId="0" applyFont="1" applyBorder="1" applyAlignment="1">
      <alignment horizontal="right" vertical="center" wrapText="1"/>
    </xf>
    <xf numFmtId="0" fontId="33" fillId="0" borderId="0" xfId="0" applyFont="1" applyAlignment="1">
      <alignment vertical="center" wrapText="1"/>
    </xf>
    <xf numFmtId="0" fontId="30" fillId="0" borderId="0" xfId="0" applyFont="1" applyAlignment="1">
      <alignment horizontal="center" vertical="center" wrapText="1"/>
    </xf>
    <xf numFmtId="0" fontId="15" fillId="0" borderId="0" xfId="0" applyFont="1"/>
    <xf numFmtId="2" fontId="15" fillId="0" borderId="0" xfId="0" applyNumberFormat="1" applyFont="1"/>
    <xf numFmtId="0" fontId="13" fillId="0" borderId="0" xfId="0" applyFont="1" applyAlignment="1">
      <alignment horizontal="center" vertical="center"/>
    </xf>
    <xf numFmtId="2" fontId="26" fillId="0" borderId="0" xfId="0" applyNumberFormat="1" applyFont="1"/>
    <xf numFmtId="0" fontId="13" fillId="0" borderId="0" xfId="0" applyFont="1"/>
    <xf numFmtId="0" fontId="29" fillId="0" borderId="0" xfId="0" applyFont="1" applyFill="1" applyBorder="1" applyAlignment="1">
      <alignment horizontal="left" vertical="center" wrapText="1"/>
    </xf>
    <xf numFmtId="1" fontId="13" fillId="0" borderId="1" xfId="0" applyNumberFormat="1" applyFont="1" applyFill="1" applyBorder="1" applyAlignment="1">
      <alignment horizontal="right" vertical="center" wrapText="1"/>
    </xf>
    <xf numFmtId="0" fontId="16" fillId="0" borderId="14" xfId="0" applyFont="1" applyFill="1" applyBorder="1"/>
    <xf numFmtId="0" fontId="16" fillId="0" borderId="0" xfId="0" applyFont="1" applyFill="1" applyBorder="1" applyAlignment="1">
      <alignment horizontal="left"/>
    </xf>
    <xf numFmtId="0" fontId="16" fillId="0" borderId="0" xfId="0" applyFont="1" applyFill="1" applyBorder="1"/>
    <xf numFmtId="0" fontId="14" fillId="0" borderId="0" xfId="0" applyFont="1" applyFill="1" applyBorder="1" applyAlignment="1">
      <alignment horizontal="right"/>
    </xf>
    <xf numFmtId="0" fontId="12" fillId="0" borderId="14"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34" fillId="0" borderId="0" xfId="0" applyFont="1" applyFill="1"/>
    <xf numFmtId="2" fontId="34" fillId="0" borderId="0" xfId="0" applyNumberFormat="1" applyFont="1" applyFill="1"/>
    <xf numFmtId="0" fontId="35" fillId="0" borderId="0" xfId="0" applyFont="1" applyFill="1" applyAlignment="1">
      <alignment horizontal="center"/>
    </xf>
    <xf numFmtId="0" fontId="35" fillId="0" borderId="0" xfId="0" applyFont="1" applyFill="1"/>
    <xf numFmtId="2" fontId="35" fillId="0" borderId="0" xfId="0" applyNumberFormat="1" applyFont="1" applyFill="1"/>
    <xf numFmtId="10" fontId="16" fillId="0" borderId="0" xfId="0" applyNumberFormat="1" applyFont="1" applyFill="1"/>
    <xf numFmtId="1" fontId="13" fillId="0" borderId="2" xfId="0" applyNumberFormat="1" applyFont="1" applyBorder="1" applyAlignment="1">
      <alignment vertical="center" wrapText="1"/>
    </xf>
    <xf numFmtId="0" fontId="3" fillId="0" borderId="28" xfId="0" applyFont="1" applyBorder="1" applyAlignment="1">
      <alignment horizontal="center" vertical="center" wrapText="1"/>
    </xf>
    <xf numFmtId="0" fontId="3" fillId="0" borderId="21" xfId="0" applyFont="1" applyBorder="1" applyAlignment="1">
      <alignment horizontal="left" vertical="center" wrapText="1"/>
    </xf>
    <xf numFmtId="0" fontId="3" fillId="0" borderId="29"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7" xfId="0" applyFont="1" applyBorder="1" applyAlignment="1">
      <alignment horizontal="center" vertical="center" wrapText="1"/>
    </xf>
    <xf numFmtId="10" fontId="15" fillId="0" borderId="8" xfId="0" applyNumberFormat="1" applyFont="1" applyBorder="1" applyAlignment="1">
      <alignment horizontal="right" vertical="center" wrapText="1"/>
    </xf>
    <xf numFmtId="2" fontId="36" fillId="0" borderId="0" xfId="0" applyNumberFormat="1" applyFont="1"/>
    <xf numFmtId="10" fontId="36" fillId="0" borderId="0" xfId="0" applyNumberFormat="1" applyFont="1"/>
    <xf numFmtId="0" fontId="37" fillId="0" borderId="0" xfId="0" applyFont="1"/>
    <xf numFmtId="0" fontId="38" fillId="0" borderId="0" xfId="0" applyFont="1" applyFill="1"/>
    <xf numFmtId="0" fontId="39" fillId="0" borderId="0" xfId="0" applyFont="1" applyFill="1"/>
    <xf numFmtId="2" fontId="40" fillId="0" borderId="8" xfId="0" applyNumberFormat="1" applyFont="1" applyBorder="1" applyAlignment="1">
      <alignment horizontal="right" vertical="center" wrapText="1"/>
    </xf>
    <xf numFmtId="10" fontId="13" fillId="0" borderId="4" xfId="0" applyNumberFormat="1" applyFont="1" applyBorder="1" applyAlignment="1">
      <alignment horizontal="right" vertical="center" wrapText="1"/>
    </xf>
    <xf numFmtId="10" fontId="13" fillId="0" borderId="7" xfId="0" applyNumberFormat="1" applyFont="1" applyBorder="1" applyAlignment="1">
      <alignment horizontal="right" vertical="center" wrapText="1"/>
    </xf>
    <xf numFmtId="10" fontId="13" fillId="0" borderId="2" xfId="0" applyNumberFormat="1" applyFont="1" applyBorder="1" applyAlignment="1">
      <alignment horizontal="right" vertical="center" wrapText="1"/>
    </xf>
    <xf numFmtId="10" fontId="13" fillId="0" borderId="12" xfId="0" applyNumberFormat="1" applyFont="1" applyBorder="1" applyAlignment="1">
      <alignment horizontal="right" vertical="center" wrapText="1"/>
    </xf>
    <xf numFmtId="10" fontId="13" fillId="0" borderId="8" xfId="0" applyNumberFormat="1" applyFont="1" applyBorder="1" applyAlignment="1">
      <alignment horizontal="right" vertical="center" wrapText="1"/>
    </xf>
    <xf numFmtId="10" fontId="13" fillId="0" borderId="1" xfId="0" applyNumberFormat="1" applyFont="1" applyBorder="1" applyAlignment="1">
      <alignment horizontal="right" vertical="center" wrapText="1"/>
    </xf>
    <xf numFmtId="0" fontId="14" fillId="0" borderId="17" xfId="0" applyFont="1" applyBorder="1" applyAlignment="1">
      <alignment horizontal="right"/>
    </xf>
    <xf numFmtId="10" fontId="13" fillId="0" borderId="21" xfId="0" applyNumberFormat="1" applyFont="1" applyBorder="1" applyAlignment="1">
      <alignment horizontal="right" vertical="center" wrapText="1"/>
    </xf>
    <xf numFmtId="10" fontId="13" fillId="0" borderId="22" xfId="0" applyNumberFormat="1" applyFont="1" applyBorder="1" applyAlignment="1">
      <alignment horizontal="right" vertical="center" wrapText="1"/>
    </xf>
    <xf numFmtId="0" fontId="12" fillId="0" borderId="1" xfId="0" applyFont="1" applyBorder="1" applyAlignment="1">
      <alignment horizontal="center" vertical="center" wrapText="1"/>
    </xf>
    <xf numFmtId="2" fontId="13" fillId="0" borderId="1" xfId="0" applyNumberFormat="1" applyFont="1" applyBorder="1" applyAlignment="1">
      <alignment horizontal="right" vertical="center" wrapText="1"/>
    </xf>
    <xf numFmtId="2" fontId="13" fillId="0" borderId="5" xfId="0" applyNumberFormat="1" applyFont="1" applyFill="1" applyBorder="1" applyAlignment="1">
      <alignment horizontal="right" vertical="center" wrapText="1"/>
    </xf>
    <xf numFmtId="2" fontId="13" fillId="0" borderId="8" xfId="0" applyNumberFormat="1" applyFont="1" applyBorder="1" applyAlignment="1">
      <alignment horizontal="right" vertical="center" wrapText="1"/>
    </xf>
    <xf numFmtId="0" fontId="12" fillId="0" borderId="18" xfId="0" applyFont="1" applyBorder="1" applyAlignment="1">
      <alignment horizontal="center" vertical="center" wrapText="1"/>
    </xf>
    <xf numFmtId="0" fontId="12" fillId="0" borderId="1" xfId="0" applyFont="1" applyBorder="1" applyAlignment="1">
      <alignment horizontal="center" vertical="center" wrapText="1"/>
    </xf>
    <xf numFmtId="2" fontId="41" fillId="0" borderId="1" xfId="0" applyNumberFormat="1" applyFont="1" applyBorder="1" applyAlignment="1">
      <alignment horizontal="right" vertical="center" wrapText="1"/>
    </xf>
    <xf numFmtId="0" fontId="39" fillId="0" borderId="0" xfId="0" applyFont="1" applyFill="1" applyBorder="1" applyAlignment="1">
      <alignment horizontal="right"/>
    </xf>
    <xf numFmtId="0" fontId="39" fillId="0" borderId="17" xfId="0" applyFont="1" applyFill="1" applyBorder="1" applyAlignment="1">
      <alignment horizontal="right"/>
    </xf>
    <xf numFmtId="10" fontId="13" fillId="0" borderId="1" xfId="0" applyNumberFormat="1" applyFont="1" applyFill="1" applyBorder="1" applyAlignment="1">
      <alignment horizontal="right" vertical="center" wrapText="1"/>
    </xf>
    <xf numFmtId="10" fontId="13" fillId="0" borderId="8" xfId="0" applyNumberFormat="1" applyFont="1" applyFill="1" applyBorder="1" applyAlignment="1">
      <alignment horizontal="right" vertical="center" wrapText="1"/>
    </xf>
    <xf numFmtId="10" fontId="13" fillId="0" borderId="2" xfId="0" applyNumberFormat="1" applyFont="1" applyFill="1" applyBorder="1" applyAlignment="1">
      <alignment horizontal="right" vertical="center" wrapText="1"/>
    </xf>
    <xf numFmtId="10" fontId="13" fillId="0" borderId="12" xfId="0" applyNumberFormat="1" applyFont="1" applyFill="1" applyBorder="1" applyAlignment="1">
      <alignment horizontal="right"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2" xfId="0" applyFont="1" applyBorder="1" applyAlignment="1">
      <alignment horizontal="center" vertical="center" wrapText="1"/>
    </xf>
    <xf numFmtId="2" fontId="13" fillId="0" borderId="10" xfId="0" applyNumberFormat="1" applyFont="1" applyBorder="1" applyAlignment="1">
      <alignment horizontal="right" vertical="center" wrapText="1"/>
    </xf>
    <xf numFmtId="0" fontId="13" fillId="0" borderId="10" xfId="0" applyFont="1" applyBorder="1" applyAlignment="1">
      <alignment horizontal="right" vertical="center" wrapText="1"/>
    </xf>
    <xf numFmtId="0" fontId="12" fillId="0" borderId="1" xfId="0" applyFont="1" applyBorder="1" applyAlignment="1">
      <alignment horizontal="center" vertical="center" wrapText="1"/>
    </xf>
    <xf numFmtId="0" fontId="12" fillId="0" borderId="15" xfId="0" applyFont="1" applyBorder="1" applyAlignment="1">
      <alignment horizontal="center" vertical="center" wrapText="1"/>
    </xf>
    <xf numFmtId="2" fontId="13" fillId="0" borderId="1" xfId="0" applyNumberFormat="1" applyFont="1" applyFill="1" applyBorder="1" applyAlignment="1">
      <alignment horizontal="right" vertical="center" wrapText="1"/>
    </xf>
    <xf numFmtId="10" fontId="13" fillId="0" borderId="8" xfId="0" applyNumberFormat="1" applyFont="1" applyBorder="1" applyAlignment="1">
      <alignment horizontal="right" vertical="center" wrapText="1"/>
    </xf>
    <xf numFmtId="2" fontId="13" fillId="0" borderId="1" xfId="0" applyNumberFormat="1" applyFont="1" applyBorder="1" applyAlignment="1">
      <alignment horizontal="right" vertical="center" wrapText="1"/>
    </xf>
    <xf numFmtId="10" fontId="13" fillId="0" borderId="1" xfId="0" applyNumberFormat="1" applyFont="1" applyBorder="1" applyAlignment="1">
      <alignment horizontal="right" vertical="center" wrapText="1"/>
    </xf>
    <xf numFmtId="10" fontId="9" fillId="0" borderId="1" xfId="0" applyNumberFormat="1" applyFont="1" applyBorder="1" applyAlignment="1">
      <alignment horizontal="right" vertical="center" wrapText="1"/>
    </xf>
    <xf numFmtId="0" fontId="3" fillId="0" borderId="10" xfId="0" applyFont="1" applyBorder="1" applyAlignment="1">
      <alignment horizontal="center" vertical="center" wrapText="1"/>
    </xf>
    <xf numFmtId="2" fontId="9" fillId="0" borderId="1" xfId="0" applyNumberFormat="1" applyFont="1" applyBorder="1" applyAlignment="1">
      <alignment vertical="center" wrapText="1"/>
    </xf>
    <xf numFmtId="2" fontId="9" fillId="0" borderId="15" xfId="0" applyNumberFormat="1" applyFont="1" applyBorder="1" applyAlignment="1">
      <alignment vertical="center" wrapText="1"/>
    </xf>
    <xf numFmtId="10" fontId="9" fillId="0" borderId="8" xfId="0" applyNumberFormat="1" applyFont="1" applyBorder="1" applyAlignment="1">
      <alignment horizontal="right" vertical="center" wrapText="1"/>
    </xf>
    <xf numFmtId="2" fontId="12" fillId="0" borderId="8" xfId="0" applyNumberFormat="1" applyFont="1" applyBorder="1" applyAlignment="1">
      <alignment horizontal="right" vertical="center" wrapText="1"/>
    </xf>
    <xf numFmtId="10" fontId="13" fillId="0" borderId="15" xfId="0" applyNumberFormat="1" applyFont="1" applyBorder="1" applyAlignment="1">
      <alignment horizontal="right" vertical="center" wrapText="1"/>
    </xf>
    <xf numFmtId="10" fontId="13" fillId="2" borderId="1" xfId="0" applyNumberFormat="1" applyFont="1" applyFill="1" applyBorder="1" applyAlignment="1">
      <alignment horizontal="right" vertical="center" wrapText="1"/>
    </xf>
    <xf numFmtId="10" fontId="13" fillId="2" borderId="15" xfId="0" applyNumberFormat="1" applyFont="1" applyFill="1" applyBorder="1" applyAlignment="1">
      <alignment horizontal="right" vertical="center" wrapText="1"/>
    </xf>
    <xf numFmtId="0" fontId="13" fillId="0" borderId="15" xfId="0" applyFont="1" applyBorder="1" applyAlignment="1">
      <alignment horizontal="right" vertical="center" wrapText="1"/>
    </xf>
    <xf numFmtId="10" fontId="13" fillId="0" borderId="4" xfId="0" applyNumberFormat="1" applyFont="1" applyFill="1" applyBorder="1" applyAlignment="1">
      <alignment horizontal="right" vertical="center" wrapText="1"/>
    </xf>
    <xf numFmtId="10" fontId="13" fillId="0" borderId="7" xfId="0" applyNumberFormat="1" applyFont="1" applyFill="1" applyBorder="1" applyAlignment="1">
      <alignment horizontal="right" vertical="center" wrapText="1"/>
    </xf>
    <xf numFmtId="2" fontId="13" fillId="0" borderId="3" xfId="0" applyNumberFormat="1" applyFont="1" applyFill="1" applyBorder="1" applyAlignment="1">
      <alignment horizontal="right" vertical="center" wrapText="1"/>
    </xf>
    <xf numFmtId="2" fontId="13" fillId="0" borderId="6" xfId="0" applyNumberFormat="1" applyFont="1" applyFill="1" applyBorder="1" applyAlignment="1">
      <alignment horizontal="right" vertical="center" wrapText="1"/>
    </xf>
    <xf numFmtId="0" fontId="35" fillId="0" borderId="0" xfId="0" applyFont="1"/>
    <xf numFmtId="2" fontId="13" fillId="0" borderId="10" xfId="0" applyNumberFormat="1" applyFont="1" applyBorder="1" applyAlignment="1">
      <alignment horizontal="right" vertical="center" wrapText="1"/>
    </xf>
    <xf numFmtId="2" fontId="13" fillId="0" borderId="1" xfId="0" applyNumberFormat="1" applyFont="1" applyBorder="1" applyAlignment="1">
      <alignment horizontal="right" vertical="center" wrapText="1"/>
    </xf>
    <xf numFmtId="10" fontId="41" fillId="0" borderId="1" xfId="0" applyNumberFormat="1" applyFont="1" applyBorder="1" applyAlignment="1">
      <alignment horizontal="right" vertical="center" wrapText="1"/>
    </xf>
    <xf numFmtId="10" fontId="41" fillId="0" borderId="1" xfId="0" applyNumberFormat="1" applyFont="1" applyFill="1" applyBorder="1" applyAlignment="1">
      <alignment horizontal="right" vertical="center" wrapText="1"/>
    </xf>
    <xf numFmtId="10" fontId="41" fillId="0" borderId="8" xfId="0" applyNumberFormat="1" applyFont="1" applyFill="1" applyBorder="1" applyAlignment="1">
      <alignment horizontal="right" vertical="center" wrapText="1"/>
    </xf>
    <xf numFmtId="10" fontId="41" fillId="0" borderId="21" xfId="0" applyNumberFormat="1" applyFont="1" applyBorder="1" applyAlignment="1">
      <alignment horizontal="right" vertical="center" wrapText="1"/>
    </xf>
    <xf numFmtId="10" fontId="41" fillId="0" borderId="8" xfId="0" applyNumberFormat="1" applyFont="1" applyBorder="1" applyAlignment="1">
      <alignment horizontal="right" vertical="center" wrapText="1"/>
    </xf>
    <xf numFmtId="10" fontId="13" fillId="0" borderId="1" xfId="2" applyNumberFormat="1" applyFont="1" applyBorder="1" applyAlignment="1">
      <alignment horizontal="right" vertical="center" wrapText="1"/>
    </xf>
    <xf numFmtId="10" fontId="13" fillId="0" borderId="1" xfId="0" applyNumberFormat="1" applyFont="1" applyBorder="1" applyAlignment="1">
      <alignment horizontal="right" vertical="center" wrapText="1"/>
    </xf>
    <xf numFmtId="2" fontId="13" fillId="0" borderId="5" xfId="0" applyNumberFormat="1" applyFont="1" applyFill="1" applyBorder="1" applyAlignment="1">
      <alignment horizontal="right" vertical="center" wrapText="1"/>
    </xf>
    <xf numFmtId="2" fontId="13" fillId="0" borderId="1" xfId="0" applyNumberFormat="1" applyFont="1" applyFill="1" applyBorder="1" applyAlignment="1">
      <alignment horizontal="right" vertical="center" wrapText="1"/>
    </xf>
    <xf numFmtId="10" fontId="13" fillId="0" borderId="1" xfId="0" applyNumberFormat="1" applyFont="1" applyBorder="1" applyAlignment="1">
      <alignment horizontal="right" vertical="center" wrapText="1"/>
    </xf>
    <xf numFmtId="2" fontId="13" fillId="0" borderId="1" xfId="0" applyNumberFormat="1" applyFont="1" applyBorder="1" applyAlignment="1">
      <alignment horizontal="right" vertical="center" wrapText="1"/>
    </xf>
    <xf numFmtId="2" fontId="35" fillId="0" borderId="0" xfId="0" applyNumberFormat="1" applyFont="1"/>
    <xf numFmtId="2" fontId="13" fillId="0" borderId="5" xfId="0" applyNumberFormat="1" applyFont="1" applyFill="1" applyBorder="1" applyAlignment="1">
      <alignment horizontal="right" vertical="center" wrapText="1"/>
    </xf>
    <xf numFmtId="2" fontId="13" fillId="0" borderId="1" xfId="0" applyNumberFormat="1" applyFont="1" applyFill="1" applyBorder="1" applyAlignment="1">
      <alignment horizontal="right" vertical="center" wrapText="1"/>
    </xf>
    <xf numFmtId="10" fontId="13" fillId="0" borderId="1" xfId="0" applyNumberFormat="1" applyFont="1" applyFill="1" applyBorder="1" applyAlignment="1">
      <alignment horizontal="right" vertical="center" wrapText="1"/>
    </xf>
    <xf numFmtId="10" fontId="16" fillId="0" borderId="0" xfId="0" applyNumberFormat="1" applyFont="1"/>
    <xf numFmtId="1" fontId="14" fillId="0" borderId="0" xfId="0" applyNumberFormat="1" applyFont="1" applyFill="1" applyBorder="1" applyAlignment="1">
      <alignment horizontal="right"/>
    </xf>
    <xf numFmtId="1" fontId="13" fillId="0" borderId="4" xfId="0" applyNumberFormat="1" applyFont="1" applyFill="1" applyBorder="1" applyAlignment="1">
      <alignment vertical="center" wrapText="1"/>
    </xf>
    <xf numFmtId="1" fontId="13" fillId="0" borderId="5" xfId="0" applyNumberFormat="1" applyFont="1" applyFill="1" applyBorder="1" applyAlignment="1">
      <alignment vertical="center" wrapText="1"/>
    </xf>
    <xf numFmtId="1" fontId="13" fillId="0" borderId="1" xfId="0" applyNumberFormat="1" applyFont="1" applyFill="1" applyBorder="1" applyAlignment="1">
      <alignment vertical="center" wrapText="1"/>
    </xf>
    <xf numFmtId="1" fontId="13" fillId="0" borderId="5" xfId="0" applyNumberFormat="1" applyFont="1" applyFill="1" applyBorder="1" applyAlignment="1">
      <alignment horizontal="right" vertical="center" wrapText="1"/>
    </xf>
    <xf numFmtId="2" fontId="16" fillId="0" borderId="0" xfId="2" applyNumberFormat="1" applyFont="1"/>
    <xf numFmtId="10" fontId="16" fillId="0" borderId="0" xfId="2" applyNumberFormat="1" applyFont="1"/>
    <xf numFmtId="1" fontId="13" fillId="0" borderId="1" xfId="0" applyNumberFormat="1" applyFont="1" applyBorder="1" applyAlignment="1">
      <alignment vertical="center" wrapText="1"/>
    </xf>
    <xf numFmtId="2" fontId="13" fillId="0" borderId="1" xfId="0" applyNumberFormat="1" applyFont="1" applyFill="1" applyBorder="1" applyAlignment="1">
      <alignment horizontal="right" vertical="center" wrapText="1"/>
    </xf>
    <xf numFmtId="9" fontId="16" fillId="0" borderId="0" xfId="2" applyFont="1"/>
    <xf numFmtId="10" fontId="14" fillId="0" borderId="0" xfId="2" applyNumberFormat="1" applyFont="1"/>
    <xf numFmtId="10" fontId="13" fillId="0" borderId="1" xfId="0" applyNumberFormat="1" applyFont="1" applyBorder="1" applyAlignment="1">
      <alignment horizontal="right" vertical="center" wrapText="1"/>
    </xf>
    <xf numFmtId="2" fontId="13" fillId="0" borderId="5" xfId="0" applyNumberFormat="1" applyFont="1" applyFill="1" applyBorder="1" applyAlignment="1">
      <alignment horizontal="right" vertical="center" wrapText="1"/>
    </xf>
    <xf numFmtId="1" fontId="13" fillId="0" borderId="2" xfId="0" applyNumberFormat="1" applyFont="1" applyFill="1" applyBorder="1" applyAlignment="1">
      <alignment horizontal="right" vertical="center" wrapText="1"/>
    </xf>
    <xf numFmtId="2" fontId="13" fillId="0" borderId="5" xfId="0" quotePrefix="1" applyNumberFormat="1" applyFont="1" applyFill="1" applyBorder="1" applyAlignment="1">
      <alignment horizontal="right" vertical="center" wrapText="1"/>
    </xf>
    <xf numFmtId="0" fontId="12" fillId="0" borderId="1" xfId="0" applyFont="1" applyBorder="1" applyAlignment="1">
      <alignment horizontal="center" vertical="center" wrapText="1"/>
    </xf>
    <xf numFmtId="2" fontId="13" fillId="0" borderId="1" xfId="0" applyNumberFormat="1" applyFont="1" applyFill="1" applyBorder="1" applyAlignment="1">
      <alignment horizontal="right" vertical="center" wrapText="1"/>
    </xf>
    <xf numFmtId="10" fontId="13" fillId="0" borderId="1" xfId="0" applyNumberFormat="1" applyFont="1" applyBorder="1" applyAlignment="1">
      <alignment horizontal="right" vertical="center" wrapText="1"/>
    </xf>
    <xf numFmtId="10" fontId="13" fillId="0" borderId="8" xfId="0" applyNumberFormat="1" applyFont="1" applyBorder="1" applyAlignment="1">
      <alignment horizontal="right" vertical="center" wrapText="1"/>
    </xf>
    <xf numFmtId="0" fontId="12" fillId="0" borderId="18" xfId="0" applyFont="1" applyBorder="1" applyAlignment="1">
      <alignment horizontal="center" vertical="center" wrapText="1"/>
    </xf>
    <xf numFmtId="10" fontId="13" fillId="0" borderId="1" xfId="0" applyNumberFormat="1" applyFont="1" applyBorder="1" applyAlignment="1">
      <alignment horizontal="right" vertical="center" wrapText="1"/>
    </xf>
    <xf numFmtId="1" fontId="13" fillId="0" borderId="1" xfId="0" applyNumberFormat="1" applyFont="1" applyFill="1" applyBorder="1" applyAlignment="1">
      <alignment horizontal="right" vertical="center" wrapText="1"/>
    </xf>
    <xf numFmtId="10" fontId="13" fillId="0" borderId="32" xfId="0" applyNumberFormat="1" applyFont="1" applyBorder="1" applyAlignment="1">
      <alignment horizontal="right" vertical="center" wrapText="1"/>
    </xf>
    <xf numFmtId="0" fontId="15" fillId="0" borderId="1" xfId="0" applyFont="1" applyBorder="1" applyAlignment="1">
      <alignment horizontal="left" vertical="center" wrapText="1"/>
    </xf>
    <xf numFmtId="164" fontId="35" fillId="0" borderId="0" xfId="0" applyNumberFormat="1" applyFont="1" applyFill="1"/>
    <xf numFmtId="164" fontId="14" fillId="0" borderId="0" xfId="0" applyNumberFormat="1" applyFont="1" applyFill="1"/>
    <xf numFmtId="10" fontId="13" fillId="0" borderId="8" xfId="0" applyNumberFormat="1" applyFont="1" applyBorder="1" applyAlignment="1">
      <alignment horizontal="right" vertical="center" wrapText="1"/>
    </xf>
    <xf numFmtId="2" fontId="16" fillId="0" borderId="0" xfId="0" applyNumberFormat="1" applyFont="1" applyFill="1"/>
    <xf numFmtId="2" fontId="13" fillId="0" borderId="1" xfId="0" applyNumberFormat="1" applyFont="1" applyFill="1" applyBorder="1" applyAlignment="1">
      <alignment horizontal="right" vertical="center" wrapText="1"/>
    </xf>
    <xf numFmtId="0" fontId="14" fillId="0" borderId="0" xfId="0" applyFont="1"/>
    <xf numFmtId="1" fontId="13" fillId="0" borderId="1" xfId="0" applyNumberFormat="1" applyFont="1" applyFill="1" applyBorder="1" applyAlignment="1">
      <alignment horizontal="right" vertical="center" wrapText="1"/>
    </xf>
    <xf numFmtId="2" fontId="13" fillId="0" borderId="1" xfId="0" applyNumberFormat="1" applyFont="1" applyBorder="1" applyAlignment="1">
      <alignment horizontal="right" vertical="center" wrapText="1"/>
    </xf>
    <xf numFmtId="2" fontId="13" fillId="0" borderId="5" xfId="0" applyNumberFormat="1" applyFont="1" applyFill="1" applyBorder="1" applyAlignment="1">
      <alignment horizontal="right" vertical="center" wrapText="1"/>
    </xf>
    <xf numFmtId="2" fontId="13" fillId="0" borderId="1" xfId="0" applyNumberFormat="1" applyFont="1" applyFill="1" applyBorder="1" applyAlignment="1">
      <alignment horizontal="right" vertical="center" wrapText="1"/>
    </xf>
    <xf numFmtId="164" fontId="13" fillId="0" borderId="4" xfId="0" applyNumberFormat="1" applyFont="1" applyFill="1" applyBorder="1" applyAlignment="1">
      <alignment horizontal="right" vertical="center" wrapText="1"/>
    </xf>
    <xf numFmtId="164" fontId="13" fillId="0" borderId="1" xfId="0" applyNumberFormat="1" applyFont="1" applyFill="1" applyBorder="1" applyAlignment="1">
      <alignment horizontal="right" vertical="center" wrapText="1"/>
    </xf>
    <xf numFmtId="164" fontId="13" fillId="0" borderId="2" xfId="0" applyNumberFormat="1" applyFont="1" applyFill="1" applyBorder="1" applyAlignment="1">
      <alignment horizontal="right" vertical="center" wrapText="1"/>
    </xf>
    <xf numFmtId="2" fontId="13" fillId="0" borderId="6" xfId="0" applyNumberFormat="1" applyFont="1" applyFill="1" applyBorder="1" applyAlignment="1">
      <alignment horizontal="right" vertical="center" wrapText="1"/>
    </xf>
    <xf numFmtId="2" fontId="13" fillId="0" borderId="28" xfId="0" applyNumberFormat="1" applyFont="1" applyFill="1" applyBorder="1" applyAlignment="1">
      <alignment horizontal="right" vertical="center" wrapText="1"/>
    </xf>
    <xf numFmtId="2" fontId="13" fillId="0" borderId="1" xfId="0" quotePrefix="1" applyNumberFormat="1" applyFont="1" applyFill="1" applyBorder="1" applyAlignment="1">
      <alignment horizontal="right" vertical="center" wrapText="1"/>
    </xf>
    <xf numFmtId="2" fontId="13" fillId="0" borderId="10" xfId="0" applyNumberFormat="1" applyFont="1" applyFill="1" applyBorder="1" applyAlignment="1">
      <alignment horizontal="right" vertical="center" wrapText="1"/>
    </xf>
    <xf numFmtId="2" fontId="13" fillId="0" borderId="21" xfId="0" applyNumberFormat="1" applyFont="1" applyFill="1" applyBorder="1" applyAlignment="1">
      <alignment horizontal="right" vertical="center" wrapText="1"/>
    </xf>
    <xf numFmtId="1" fontId="13" fillId="0" borderId="10" xfId="0" applyNumberFormat="1" applyFont="1" applyFill="1" applyBorder="1" applyAlignment="1">
      <alignment horizontal="right" vertical="center" wrapText="1"/>
    </xf>
    <xf numFmtId="1" fontId="13" fillId="0" borderId="21" xfId="0" applyNumberFormat="1" applyFont="1" applyFill="1" applyBorder="1" applyAlignment="1">
      <alignment horizontal="right" vertical="center" wrapText="1"/>
    </xf>
    <xf numFmtId="2" fontId="13" fillId="0" borderId="5" xfId="0" applyNumberFormat="1" applyFont="1" applyFill="1" applyBorder="1" applyAlignment="1">
      <alignment horizontal="right" vertical="center" wrapText="1"/>
    </xf>
    <xf numFmtId="2" fontId="13" fillId="0" borderId="13" xfId="0" applyNumberFormat="1" applyFont="1" applyFill="1" applyBorder="1" applyAlignment="1">
      <alignment horizontal="right" vertical="center" wrapText="1"/>
    </xf>
    <xf numFmtId="2" fontId="13" fillId="0" borderId="28" xfId="0" applyNumberFormat="1" applyFont="1" applyFill="1" applyBorder="1" applyAlignment="1">
      <alignment horizontal="right" vertical="center" wrapText="1"/>
    </xf>
    <xf numFmtId="2" fontId="14" fillId="0" borderId="0" xfId="2" applyNumberFormat="1" applyFont="1"/>
    <xf numFmtId="0" fontId="44" fillId="0" borderId="0" xfId="4" applyFont="1" applyFill="1"/>
    <xf numFmtId="0" fontId="45" fillId="0" borderId="36" xfId="1" applyFont="1" applyFill="1" applyBorder="1" applyAlignment="1"/>
    <xf numFmtId="0" fontId="45" fillId="0" borderId="24" xfId="1" applyFont="1" applyFill="1" applyBorder="1" applyAlignment="1">
      <alignment horizontal="center" vertical="center" wrapText="1"/>
    </xf>
    <xf numFmtId="0" fontId="45" fillId="0" borderId="1" xfId="1" applyFont="1" applyFill="1" applyBorder="1" applyAlignment="1">
      <alignment horizontal="center" vertical="center" wrapText="1"/>
    </xf>
    <xf numFmtId="0" fontId="45" fillId="0" borderId="16" xfId="1" applyFont="1" applyFill="1" applyBorder="1" applyAlignment="1">
      <alignment horizontal="center" vertical="center" wrapText="1"/>
    </xf>
    <xf numFmtId="0" fontId="48" fillId="0" borderId="1" xfId="1" applyFont="1" applyFill="1" applyBorder="1" applyAlignment="1">
      <alignment horizontal="center" vertical="center" wrapText="1"/>
    </xf>
    <xf numFmtId="0" fontId="44" fillId="0" borderId="1" xfId="1" applyFont="1" applyFill="1" applyBorder="1" applyAlignment="1">
      <alignment horizontal="center" vertical="center"/>
    </xf>
    <xf numFmtId="0" fontId="44" fillId="0" borderId="1" xfId="1" applyFont="1" applyFill="1" applyBorder="1" applyAlignment="1">
      <alignment horizontal="center" vertical="center" wrapText="1"/>
    </xf>
    <xf numFmtId="2" fontId="44" fillId="0" borderId="1" xfId="1" applyNumberFormat="1" applyFont="1" applyFill="1" applyBorder="1" applyAlignment="1">
      <alignment horizontal="center" vertical="center" wrapText="1"/>
    </xf>
    <xf numFmtId="0" fontId="44" fillId="0" borderId="16" xfId="1" applyFont="1" applyFill="1" applyBorder="1" applyAlignment="1">
      <alignment horizontal="center" vertical="center" wrapText="1"/>
    </xf>
    <xf numFmtId="0" fontId="49" fillId="0" borderId="1" xfId="1" applyFont="1" applyFill="1" applyBorder="1" applyAlignment="1">
      <alignment horizontal="center" vertical="center"/>
    </xf>
    <xf numFmtId="0" fontId="49" fillId="0" borderId="1" xfId="1" applyFont="1" applyFill="1" applyBorder="1" applyAlignment="1">
      <alignment horizontal="center" vertical="center" wrapText="1"/>
    </xf>
    <xf numFmtId="2" fontId="49" fillId="0" borderId="1" xfId="1" applyNumberFormat="1" applyFont="1" applyFill="1" applyBorder="1" applyAlignment="1">
      <alignment horizontal="center" vertical="center" wrapText="1"/>
    </xf>
    <xf numFmtId="0" fontId="44" fillId="0" borderId="0" xfId="4" applyFont="1" applyFill="1" applyAlignment="1">
      <alignment vertical="center"/>
    </xf>
    <xf numFmtId="0" fontId="50" fillId="0" borderId="0" xfId="4" applyFont="1" applyFill="1" applyBorder="1" applyAlignment="1">
      <alignment horizontal="center" vertical="center"/>
    </xf>
    <xf numFmtId="0" fontId="50" fillId="0" borderId="10" xfId="1" applyFont="1" applyFill="1" applyBorder="1" applyAlignment="1">
      <alignment horizontal="center" vertical="center" wrapText="1"/>
    </xf>
    <xf numFmtId="2" fontId="50" fillId="0" borderId="10" xfId="1" applyNumberFormat="1" applyFont="1" applyFill="1" applyBorder="1" applyAlignment="1">
      <alignment horizontal="center" vertical="center" wrapText="1"/>
    </xf>
    <xf numFmtId="0" fontId="50" fillId="0" borderId="16" xfId="1" applyFont="1" applyFill="1" applyBorder="1" applyAlignment="1">
      <alignment horizontal="center" vertical="center" wrapText="1"/>
    </xf>
    <xf numFmtId="0" fontId="51" fillId="0" borderId="10" xfId="1" applyFont="1" applyFill="1" applyBorder="1" applyAlignment="1">
      <alignment horizontal="center" vertical="center" wrapText="1"/>
    </xf>
    <xf numFmtId="2" fontId="51" fillId="0" borderId="10" xfId="1" applyNumberFormat="1" applyFont="1" applyFill="1" applyBorder="1" applyAlignment="1">
      <alignment horizontal="center" vertical="center" wrapText="1"/>
    </xf>
    <xf numFmtId="0" fontId="45" fillId="0" borderId="10" xfId="1" applyFont="1" applyFill="1" applyBorder="1" applyAlignment="1">
      <alignment horizontal="center" vertical="center" wrapText="1"/>
    </xf>
    <xf numFmtId="0" fontId="52" fillId="0" borderId="26" xfId="4" applyFont="1" applyFill="1" applyBorder="1" applyAlignment="1">
      <alignment horizontal="center" vertical="center"/>
    </xf>
    <xf numFmtId="0" fontId="53" fillId="0" borderId="2" xfId="1" applyFont="1" applyFill="1" applyBorder="1" applyAlignment="1">
      <alignment horizontal="center" vertical="center" wrapText="1"/>
    </xf>
    <xf numFmtId="0" fontId="52" fillId="0" borderId="0" xfId="4" applyFont="1" applyFill="1" applyAlignment="1">
      <alignment vertical="center"/>
    </xf>
    <xf numFmtId="0" fontId="50" fillId="0" borderId="1" xfId="4" applyFont="1" applyFill="1" applyBorder="1" applyAlignment="1">
      <alignment horizontal="center" vertical="center"/>
    </xf>
    <xf numFmtId="2" fontId="50" fillId="0" borderId="1" xfId="1" applyNumberFormat="1" applyFont="1" applyFill="1" applyBorder="1" applyAlignment="1">
      <alignment horizontal="center" vertical="center" wrapText="1"/>
    </xf>
    <xf numFmtId="0" fontId="51" fillId="0" borderId="1" xfId="1" applyFont="1" applyFill="1" applyBorder="1" applyAlignment="1">
      <alignment horizontal="center" vertical="center" wrapText="1"/>
    </xf>
    <xf numFmtId="2" fontId="51" fillId="0" borderId="1" xfId="1" applyNumberFormat="1" applyFont="1" applyFill="1" applyBorder="1" applyAlignment="1">
      <alignment horizontal="center" vertical="center" wrapText="1"/>
    </xf>
    <xf numFmtId="0" fontId="52" fillId="0" borderId="41" xfId="4" applyFont="1" applyFill="1" applyBorder="1" applyAlignment="1">
      <alignment horizontal="center" vertical="center"/>
    </xf>
    <xf numFmtId="0" fontId="53" fillId="0" borderId="42" xfId="1" applyFont="1" applyFill="1" applyBorder="1" applyAlignment="1">
      <alignment horizontal="center" vertical="center" wrapText="1"/>
    </xf>
    <xf numFmtId="0" fontId="44" fillId="0" borderId="16" xfId="4" applyFont="1" applyFill="1" applyBorder="1" applyAlignment="1">
      <alignment vertical="center"/>
    </xf>
    <xf numFmtId="0" fontId="52" fillId="0" borderId="2" xfId="4" applyFont="1" applyFill="1" applyBorder="1" applyAlignment="1">
      <alignment horizontal="center" vertical="center"/>
    </xf>
    <xf numFmtId="0" fontId="47" fillId="0" borderId="43" xfId="4" applyNumberFormat="1" applyFont="1" applyFill="1" applyBorder="1" applyAlignment="1">
      <alignment vertical="center" wrapText="1"/>
    </xf>
    <xf numFmtId="0" fontId="54" fillId="0" borderId="43" xfId="4" applyNumberFormat="1" applyFont="1" applyFill="1" applyBorder="1" applyAlignment="1">
      <alignment vertical="center" wrapText="1"/>
    </xf>
    <xf numFmtId="0" fontId="44" fillId="0" borderId="0" xfId="0" applyFont="1" applyFill="1" applyBorder="1"/>
    <xf numFmtId="0" fontId="84" fillId="0" borderId="0" xfId="0" applyFont="1" applyFill="1" applyAlignment="1">
      <alignment horizontal="left" vertical="center"/>
    </xf>
    <xf numFmtId="0" fontId="84" fillId="0" borderId="0" xfId="0" applyFont="1" applyFill="1" applyAlignment="1">
      <alignment vertical="center"/>
    </xf>
    <xf numFmtId="0" fontId="84" fillId="0" borderId="0" xfId="0" applyFont="1" applyFill="1" applyAlignment="1">
      <alignment horizontal="right" vertical="center"/>
    </xf>
    <xf numFmtId="0" fontId="86" fillId="0" borderId="4" xfId="0" applyFont="1" applyFill="1" applyBorder="1" applyAlignment="1">
      <alignment horizontal="center" vertical="center" wrapText="1"/>
    </xf>
    <xf numFmtId="0" fontId="44" fillId="0" borderId="0" xfId="0" quotePrefix="1" applyFont="1" applyFill="1" applyBorder="1"/>
    <xf numFmtId="0" fontId="87" fillId="0" borderId="1" xfId="0" applyFont="1" applyFill="1" applyBorder="1" applyAlignment="1">
      <alignment horizontal="left" vertical="center"/>
    </xf>
    <xf numFmtId="0" fontId="87" fillId="0" borderId="1" xfId="0" applyFont="1" applyFill="1" applyBorder="1" applyAlignment="1">
      <alignment horizontal="center" vertical="center"/>
    </xf>
    <xf numFmtId="0" fontId="87" fillId="0" borderId="1" xfId="0" applyFont="1" applyFill="1" applyBorder="1" applyAlignment="1">
      <alignment vertical="center"/>
    </xf>
    <xf numFmtId="0" fontId="44" fillId="0" borderId="0" xfId="0" applyNumberFormat="1" applyFont="1" applyFill="1" applyBorder="1"/>
    <xf numFmtId="1" fontId="44" fillId="0" borderId="0" xfId="0" applyNumberFormat="1" applyFont="1" applyFill="1" applyBorder="1"/>
    <xf numFmtId="0" fontId="86" fillId="0" borderId="2" xfId="0" applyFont="1" applyFill="1" applyBorder="1" applyAlignment="1">
      <alignment horizontal="left" vertical="center"/>
    </xf>
    <xf numFmtId="0" fontId="86" fillId="0" borderId="2" xfId="0" applyFont="1" applyFill="1" applyBorder="1" applyAlignment="1">
      <alignment horizontal="center" vertical="center"/>
    </xf>
    <xf numFmtId="0" fontId="86" fillId="0" borderId="2" xfId="0" applyFont="1" applyFill="1" applyBorder="1" applyAlignment="1">
      <alignment vertical="center"/>
    </xf>
    <xf numFmtId="188" fontId="44" fillId="0" borderId="0" xfId="0" applyNumberFormat="1" applyFont="1" applyFill="1" applyBorder="1"/>
    <xf numFmtId="0" fontId="86" fillId="0" borderId="7" xfId="0" applyFont="1" applyFill="1" applyBorder="1" applyAlignment="1">
      <alignment horizontal="center" vertical="center" wrapText="1"/>
    </xf>
    <xf numFmtId="0" fontId="44" fillId="0" borderId="0" xfId="0" applyFont="1" applyFill="1" applyBorder="1" applyAlignment="1">
      <alignment vertical="center"/>
    </xf>
    <xf numFmtId="0" fontId="86" fillId="0" borderId="0" xfId="0" applyFont="1" applyFill="1" applyBorder="1" applyAlignment="1">
      <alignment vertical="center"/>
    </xf>
    <xf numFmtId="1" fontId="50" fillId="0" borderId="0" xfId="0" applyNumberFormat="1" applyFont="1" applyFill="1" applyBorder="1" applyAlignment="1">
      <alignment vertical="center"/>
    </xf>
    <xf numFmtId="0" fontId="87" fillId="9" borderId="1" xfId="0" applyFont="1" applyFill="1" applyBorder="1" applyAlignment="1">
      <alignment horizontal="center" vertical="center"/>
    </xf>
    <xf numFmtId="1" fontId="87" fillId="9" borderId="1" xfId="0" applyNumberFormat="1" applyFont="1" applyFill="1" applyBorder="1" applyAlignment="1">
      <alignment horizontal="center" vertical="center"/>
    </xf>
    <xf numFmtId="1" fontId="87" fillId="9" borderId="8" xfId="0" applyNumberFormat="1" applyFont="1" applyFill="1" applyBorder="1" applyAlignment="1">
      <alignment horizontal="center" vertical="center"/>
    </xf>
    <xf numFmtId="1" fontId="50" fillId="0" borderId="0" xfId="0" applyNumberFormat="1" applyFont="1" applyFill="1" applyBorder="1" applyAlignment="1">
      <alignment horizontal="center" vertical="center"/>
    </xf>
    <xf numFmtId="0" fontId="86" fillId="9" borderId="2" xfId="0" applyFont="1" applyFill="1" applyBorder="1" applyAlignment="1">
      <alignment horizontal="center" vertical="center"/>
    </xf>
    <xf numFmtId="0" fontId="86" fillId="9" borderId="12" xfId="0" applyFont="1" applyFill="1" applyBorder="1" applyAlignment="1">
      <alignment horizontal="center" vertical="center"/>
    </xf>
    <xf numFmtId="0" fontId="44" fillId="0" borderId="0" xfId="0" applyFont="1" applyFill="1" applyBorder="1" applyAlignment="1">
      <alignment horizontal="center" vertical="center"/>
    </xf>
    <xf numFmtId="0" fontId="88" fillId="0" borderId="0" xfId="0" applyFont="1" applyFill="1" applyBorder="1" applyAlignment="1">
      <alignment horizontal="center" vertical="center" wrapText="1"/>
    </xf>
    <xf numFmtId="1" fontId="44" fillId="0" borderId="0" xfId="0" applyNumberFormat="1" applyFont="1" applyFill="1" applyBorder="1" applyAlignment="1">
      <alignment vertical="center"/>
    </xf>
    <xf numFmtId="0" fontId="50" fillId="0" borderId="0" xfId="0" applyFont="1" applyFill="1" applyBorder="1" applyAlignment="1">
      <alignment vertical="center"/>
    </xf>
    <xf numFmtId="16" fontId="50" fillId="0" borderId="0" xfId="0" quotePrefix="1" applyNumberFormat="1" applyFont="1" applyFill="1" applyBorder="1" applyAlignment="1">
      <alignment vertical="center"/>
    </xf>
    <xf numFmtId="0" fontId="50" fillId="0" borderId="1" xfId="0" applyFont="1" applyFill="1" applyBorder="1" applyAlignment="1">
      <alignment horizontal="center" vertical="center" wrapText="1"/>
    </xf>
    <xf numFmtId="0" fontId="50" fillId="0" borderId="1" xfId="0" applyFont="1" applyFill="1" applyBorder="1" applyAlignment="1">
      <alignment horizontal="center" vertical="center"/>
    </xf>
    <xf numFmtId="0" fontId="50" fillId="10" borderId="1" xfId="0" applyFont="1" applyFill="1" applyBorder="1" applyAlignment="1">
      <alignment vertical="center"/>
    </xf>
    <xf numFmtId="0" fontId="50" fillId="11" borderId="1" xfId="0" applyFont="1" applyFill="1" applyBorder="1" applyAlignment="1">
      <alignment vertical="center"/>
    </xf>
    <xf numFmtId="0" fontId="86" fillId="0" borderId="56" xfId="0" applyFont="1" applyFill="1" applyBorder="1" applyAlignment="1">
      <alignment vertical="center"/>
    </xf>
    <xf numFmtId="0" fontId="44" fillId="0" borderId="43" xfId="0" applyFont="1" applyFill="1" applyBorder="1" applyAlignment="1">
      <alignment vertical="center"/>
    </xf>
    <xf numFmtId="16" fontId="86" fillId="0" borderId="43" xfId="0" quotePrefix="1" applyNumberFormat="1" applyFont="1" applyFill="1" applyBorder="1" applyAlignment="1">
      <alignment horizontal="right" vertical="center"/>
    </xf>
    <xf numFmtId="0" fontId="50" fillId="0" borderId="43" xfId="0" applyFont="1" applyFill="1" applyBorder="1" applyAlignment="1">
      <alignment vertical="center"/>
    </xf>
    <xf numFmtId="0" fontId="44" fillId="0" borderId="57" xfId="0" applyFont="1" applyFill="1" applyBorder="1" applyAlignment="1">
      <alignment vertical="center"/>
    </xf>
    <xf numFmtId="16" fontId="50" fillId="0" borderId="10" xfId="0" quotePrefix="1" applyNumberFormat="1" applyFont="1" applyFill="1" applyBorder="1" applyAlignment="1">
      <alignment horizontal="center" vertical="center" wrapText="1"/>
    </xf>
    <xf numFmtId="16" fontId="50" fillId="0" borderId="21" xfId="0" quotePrefix="1" applyNumberFormat="1" applyFont="1" applyFill="1" applyBorder="1" applyAlignment="1">
      <alignment horizontal="center" vertical="center" wrapText="1"/>
    </xf>
    <xf numFmtId="0" fontId="45" fillId="0" borderId="1" xfId="0" applyFont="1" applyFill="1" applyBorder="1" applyAlignment="1">
      <alignment horizontal="center" vertical="center" wrapText="1"/>
    </xf>
    <xf numFmtId="0" fontId="45" fillId="0" borderId="8" xfId="0" applyFont="1" applyFill="1" applyBorder="1" applyAlignment="1">
      <alignment horizontal="center" vertical="center" wrapText="1"/>
    </xf>
    <xf numFmtId="0" fontId="44" fillId="0" borderId="5" xfId="0" applyFont="1" applyFill="1" applyBorder="1" applyAlignment="1">
      <alignment vertical="center"/>
    </xf>
    <xf numFmtId="0" fontId="44" fillId="11" borderId="1" xfId="0" applyFont="1" applyFill="1" applyBorder="1" applyAlignment="1">
      <alignment vertical="center"/>
    </xf>
    <xf numFmtId="0" fontId="44" fillId="0" borderId="1" xfId="0" applyFont="1" applyFill="1" applyBorder="1" applyAlignment="1">
      <alignment vertical="center"/>
    </xf>
    <xf numFmtId="0" fontId="44" fillId="8" borderId="1" xfId="0" applyFont="1" applyFill="1" applyBorder="1" applyAlignment="1">
      <alignment vertical="center"/>
    </xf>
    <xf numFmtId="0" fontId="44" fillId="8" borderId="8" xfId="0" applyFont="1" applyFill="1" applyBorder="1" applyAlignment="1">
      <alignment vertical="center"/>
    </xf>
    <xf numFmtId="0" fontId="44" fillId="0" borderId="6" xfId="0" applyFont="1" applyFill="1" applyBorder="1" applyAlignment="1">
      <alignment vertical="center"/>
    </xf>
    <xf numFmtId="0" fontId="44" fillId="11" borderId="2" xfId="0" applyFont="1" applyFill="1" applyBorder="1" applyAlignment="1">
      <alignment vertical="center"/>
    </xf>
    <xf numFmtId="0" fontId="44" fillId="0" borderId="41" xfId="0" applyFont="1" applyFill="1" applyBorder="1" applyAlignment="1">
      <alignment vertical="center"/>
    </xf>
    <xf numFmtId="0" fontId="44" fillId="0" borderId="2" xfId="0" applyFont="1" applyFill="1" applyBorder="1" applyAlignment="1">
      <alignment vertical="center"/>
    </xf>
    <xf numFmtId="0" fontId="44" fillId="8" borderId="2" xfId="0" applyFont="1" applyFill="1" applyBorder="1" applyAlignment="1">
      <alignment vertical="center"/>
    </xf>
    <xf numFmtId="0" fontId="44" fillId="8" borderId="12" xfId="0" applyFont="1" applyFill="1" applyBorder="1" applyAlignment="1">
      <alignment vertical="center"/>
    </xf>
    <xf numFmtId="16" fontId="44" fillId="0" borderId="0" xfId="0" quotePrefix="1" applyNumberFormat="1" applyFont="1" applyFill="1" applyBorder="1" applyAlignment="1">
      <alignment vertical="center"/>
    </xf>
    <xf numFmtId="16" fontId="90" fillId="0" borderId="3" xfId="0" quotePrefix="1" applyNumberFormat="1" applyFont="1" applyFill="1" applyBorder="1" applyAlignment="1">
      <alignment vertical="center"/>
    </xf>
    <xf numFmtId="0" fontId="90" fillId="0" borderId="7" xfId="0" applyFont="1" applyFill="1" applyBorder="1" applyAlignment="1">
      <alignment vertical="center"/>
    </xf>
    <xf numFmtId="0" fontId="50" fillId="0" borderId="0" xfId="0" applyFont="1" applyFill="1" applyBorder="1"/>
    <xf numFmtId="0" fontId="89" fillId="0" borderId="5" xfId="0" applyFont="1" applyBorder="1" applyAlignment="1">
      <alignment horizontal="center" vertical="center" wrapText="1"/>
    </xf>
    <xf numFmtId="0" fontId="89" fillId="0" borderId="1" xfId="0" applyFont="1" applyBorder="1" applyAlignment="1">
      <alignment horizontal="center" vertical="center" wrapText="1"/>
    </xf>
    <xf numFmtId="0" fontId="89" fillId="0" borderId="8" xfId="0" applyFont="1" applyBorder="1" applyAlignment="1">
      <alignment horizontal="center" vertical="center" wrapText="1"/>
    </xf>
    <xf numFmtId="0" fontId="91" fillId="0" borderId="59" xfId="0" applyFont="1" applyBorder="1" applyAlignment="1">
      <alignment horizontal="center" vertical="center"/>
    </xf>
    <xf numFmtId="0" fontId="91" fillId="0" borderId="5" xfId="0" applyFont="1" applyBorder="1" applyAlignment="1">
      <alignment horizontal="center" vertical="center"/>
    </xf>
    <xf numFmtId="0" fontId="91" fillId="0" borderId="1" xfId="0" applyFont="1" applyBorder="1" applyAlignment="1">
      <alignment horizontal="center" vertical="center"/>
    </xf>
    <xf numFmtId="0" fontId="91" fillId="0" borderId="8" xfId="0" applyFont="1" applyBorder="1" applyAlignment="1">
      <alignment horizontal="center" vertical="center"/>
    </xf>
    <xf numFmtId="0" fontId="90" fillId="0" borderId="5" xfId="0" applyFont="1" applyFill="1" applyBorder="1" applyAlignment="1">
      <alignment horizontal="center"/>
    </xf>
    <xf numFmtId="0" fontId="90" fillId="0" borderId="1" xfId="0" applyFont="1" applyFill="1" applyBorder="1" applyAlignment="1">
      <alignment horizontal="center"/>
    </xf>
    <xf numFmtId="0" fontId="90" fillId="0" borderId="8" xfId="0" applyFont="1" applyFill="1" applyBorder="1" applyAlignment="1">
      <alignment horizontal="center"/>
    </xf>
    <xf numFmtId="0" fontId="89" fillId="12" borderId="59" xfId="0" applyFont="1" applyFill="1" applyBorder="1" applyAlignment="1">
      <alignment horizontal="center" vertical="center"/>
    </xf>
    <xf numFmtId="0" fontId="89" fillId="12" borderId="5" xfId="0" applyFont="1" applyFill="1" applyBorder="1" applyAlignment="1">
      <alignment horizontal="center" vertical="center"/>
    </xf>
    <xf numFmtId="0" fontId="89" fillId="12" borderId="1" xfId="0" applyFont="1" applyFill="1" applyBorder="1" applyAlignment="1">
      <alignment horizontal="center" vertical="center"/>
    </xf>
    <xf numFmtId="0" fontId="89" fillId="13" borderId="1" xfId="0" applyFont="1" applyFill="1" applyBorder="1" applyAlignment="1">
      <alignment horizontal="center" vertical="center"/>
    </xf>
    <xf numFmtId="0" fontId="89" fillId="12" borderId="8" xfId="0" applyFont="1" applyFill="1" applyBorder="1" applyAlignment="1">
      <alignment horizontal="center" vertical="center"/>
    </xf>
    <xf numFmtId="0" fontId="90" fillId="0" borderId="5" xfId="0" applyFont="1" applyBorder="1" applyAlignment="1">
      <alignment horizontal="center" vertical="center"/>
    </xf>
    <xf numFmtId="0" fontId="90" fillId="0" borderId="1" xfId="0" applyFont="1" applyBorder="1" applyAlignment="1">
      <alignment horizontal="center" vertical="center"/>
    </xf>
    <xf numFmtId="0" fontId="90" fillId="0" borderId="8" xfId="0" applyFont="1" applyBorder="1" applyAlignment="1">
      <alignment horizontal="center" vertical="center"/>
    </xf>
    <xf numFmtId="0" fontId="90" fillId="0" borderId="5" xfId="0" applyFont="1" applyFill="1" applyBorder="1"/>
    <xf numFmtId="0" fontId="90" fillId="0" borderId="8" xfId="0" applyFont="1" applyFill="1" applyBorder="1"/>
    <xf numFmtId="0" fontId="89" fillId="12" borderId="60" xfId="0" applyFont="1" applyFill="1" applyBorder="1" applyAlignment="1">
      <alignment horizontal="center" vertical="center"/>
    </xf>
    <xf numFmtId="0" fontId="89" fillId="12" borderId="6" xfId="0" applyFont="1" applyFill="1" applyBorder="1" applyAlignment="1">
      <alignment horizontal="center" vertical="center"/>
    </xf>
    <xf numFmtId="0" fontId="89" fillId="12" borderId="2" xfId="0" applyFont="1" applyFill="1" applyBorder="1" applyAlignment="1">
      <alignment horizontal="center" vertical="center"/>
    </xf>
    <xf numFmtId="0" fontId="89" fillId="12" borderId="12" xfId="0" applyFont="1" applyFill="1" applyBorder="1" applyAlignment="1">
      <alignment horizontal="center" vertical="center"/>
    </xf>
    <xf numFmtId="0" fontId="90" fillId="0" borderId="6" xfId="0" applyFont="1" applyFill="1" applyBorder="1"/>
    <xf numFmtId="0" fontId="90" fillId="0" borderId="12" xfId="0" applyFont="1" applyFill="1" applyBorder="1"/>
    <xf numFmtId="2" fontId="13" fillId="0" borderId="10" xfId="0" applyNumberFormat="1" applyFont="1" applyBorder="1" applyAlignment="1">
      <alignment horizontal="right" vertical="center" wrapText="1"/>
    </xf>
    <xf numFmtId="2" fontId="13" fillId="0" borderId="16" xfId="0" applyNumberFormat="1" applyFont="1" applyBorder="1" applyAlignment="1">
      <alignment horizontal="right" vertical="center" wrapText="1"/>
    </xf>
    <xf numFmtId="2" fontId="13" fillId="0" borderId="21" xfId="0" applyNumberFormat="1" applyFont="1" applyBorder="1" applyAlignment="1">
      <alignment horizontal="right" vertical="center" wrapText="1"/>
    </xf>
    <xf numFmtId="0" fontId="28" fillId="0" borderId="0" xfId="0" applyFont="1" applyAlignment="1">
      <alignment horizontal="center"/>
    </xf>
    <xf numFmtId="0" fontId="30" fillId="0" borderId="0" xfId="0" applyFont="1" applyAlignment="1">
      <alignment horizontal="center" vertical="center" wrapText="1"/>
    </xf>
    <xf numFmtId="0" fontId="12" fillId="0" borderId="8"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20"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20"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7" xfId="0" applyFont="1" applyBorder="1" applyAlignment="1">
      <alignment horizontal="center" vertical="center" wrapText="1"/>
    </xf>
    <xf numFmtId="2" fontId="13" fillId="0" borderId="10" xfId="0" applyNumberFormat="1" applyFont="1" applyFill="1" applyBorder="1" applyAlignment="1">
      <alignment horizontal="right" vertical="center" wrapText="1"/>
    </xf>
    <xf numFmtId="2" fontId="13" fillId="0" borderId="16" xfId="0" applyNumberFormat="1" applyFont="1" applyFill="1" applyBorder="1" applyAlignment="1">
      <alignment horizontal="right" vertical="center" wrapText="1"/>
    </xf>
    <xf numFmtId="2" fontId="13" fillId="0" borderId="21" xfId="0" applyNumberFormat="1" applyFont="1" applyFill="1" applyBorder="1" applyAlignment="1">
      <alignment horizontal="right" vertical="center" wrapText="1"/>
    </xf>
    <xf numFmtId="0" fontId="27" fillId="0" borderId="0" xfId="0" applyFont="1" applyAlignment="1">
      <alignment horizontal="center" vertical="center" wrapText="1"/>
    </xf>
    <xf numFmtId="0" fontId="12" fillId="0" borderId="10" xfId="0" applyFont="1" applyBorder="1" applyAlignment="1">
      <alignment horizontal="center" vertical="center" wrapText="1"/>
    </xf>
    <xf numFmtId="0" fontId="12" fillId="0" borderId="21" xfId="0" applyFont="1" applyBorder="1" applyAlignment="1">
      <alignment horizontal="center" vertical="center" wrapText="1"/>
    </xf>
    <xf numFmtId="10" fontId="9" fillId="0" borderId="10" xfId="0" applyNumberFormat="1" applyFont="1" applyBorder="1" applyAlignment="1">
      <alignment horizontal="right" vertical="center" wrapText="1"/>
    </xf>
    <xf numFmtId="10" fontId="9" fillId="0" borderId="21" xfId="0" applyNumberFormat="1" applyFont="1" applyBorder="1" applyAlignment="1">
      <alignment horizontal="right" vertical="center" wrapText="1"/>
    </xf>
    <xf numFmtId="10" fontId="9" fillId="0" borderId="16" xfId="0" applyNumberFormat="1" applyFont="1" applyBorder="1" applyAlignment="1">
      <alignment horizontal="right" vertical="center" wrapText="1"/>
    </xf>
    <xf numFmtId="10" fontId="9" fillId="0" borderId="11" xfId="0" applyNumberFormat="1" applyFont="1" applyBorder="1" applyAlignment="1">
      <alignment horizontal="right" vertical="center" wrapText="1"/>
    </xf>
    <xf numFmtId="10" fontId="9" fillId="0" borderId="22" xfId="0" applyNumberFormat="1" applyFont="1" applyBorder="1" applyAlignment="1">
      <alignment horizontal="right" vertical="center" wrapText="1"/>
    </xf>
    <xf numFmtId="10" fontId="9" fillId="0" borderId="23" xfId="0" applyNumberFormat="1" applyFont="1" applyBorder="1" applyAlignment="1">
      <alignment horizontal="right" vertical="center" wrapText="1"/>
    </xf>
    <xf numFmtId="0" fontId="31" fillId="0" borderId="0" xfId="0" applyFont="1" applyAlignment="1">
      <alignment horizontal="center"/>
    </xf>
    <xf numFmtId="0" fontId="12" fillId="0" borderId="24" xfId="0" applyFont="1" applyBorder="1" applyAlignment="1">
      <alignment horizontal="center" vertical="center" wrapText="1"/>
    </xf>
    <xf numFmtId="0" fontId="12" fillId="0" borderId="15" xfId="0" applyFont="1" applyBorder="1" applyAlignment="1">
      <alignment horizontal="center" vertical="center" wrapText="1"/>
    </xf>
    <xf numFmtId="0" fontId="23" fillId="0" borderId="0" xfId="0" applyFont="1" applyAlignment="1">
      <alignment horizontal="center"/>
    </xf>
    <xf numFmtId="0" fontId="24" fillId="0" borderId="0" xfId="0" applyFont="1" applyAlignment="1">
      <alignment horizontal="center" vertical="center" wrapText="1"/>
    </xf>
    <xf numFmtId="0" fontId="12" fillId="0" borderId="4"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23" fillId="0" borderId="0" xfId="0" applyFont="1" applyFill="1" applyAlignment="1">
      <alignment horizontal="center"/>
    </xf>
    <xf numFmtId="10" fontId="13" fillId="0" borderId="11" xfId="0" applyNumberFormat="1" applyFont="1" applyFill="1" applyBorder="1" applyAlignment="1">
      <alignment horizontal="right" vertical="center" wrapText="1"/>
    </xf>
    <xf numFmtId="10" fontId="13" fillId="0" borderId="22" xfId="0" applyNumberFormat="1" applyFont="1" applyFill="1" applyBorder="1" applyAlignment="1">
      <alignment horizontal="right" vertical="center" wrapText="1"/>
    </xf>
    <xf numFmtId="164" fontId="13" fillId="0" borderId="10" xfId="0" applyNumberFormat="1" applyFont="1" applyFill="1" applyBorder="1" applyAlignment="1">
      <alignment horizontal="right" vertical="center" wrapText="1"/>
    </xf>
    <xf numFmtId="164" fontId="13" fillId="0" borderId="21" xfId="0" applyNumberFormat="1" applyFont="1" applyFill="1" applyBorder="1" applyAlignment="1">
      <alignment horizontal="right" vertical="center" wrapText="1"/>
    </xf>
    <xf numFmtId="10" fontId="13" fillId="0" borderId="10" xfId="0" applyNumberFormat="1" applyFont="1" applyFill="1" applyBorder="1" applyAlignment="1">
      <alignment vertical="center" wrapText="1"/>
    </xf>
    <xf numFmtId="10" fontId="13" fillId="0" borderId="21" xfId="0" applyNumberFormat="1" applyFont="1" applyFill="1" applyBorder="1" applyAlignment="1">
      <alignment vertical="center" wrapText="1"/>
    </xf>
    <xf numFmtId="1" fontId="13" fillId="0" borderId="10" xfId="0" applyNumberFormat="1" applyFont="1" applyFill="1" applyBorder="1" applyAlignment="1">
      <alignment horizontal="right" vertical="center" wrapText="1"/>
    </xf>
    <xf numFmtId="1" fontId="13" fillId="0" borderId="21" xfId="0" applyNumberFormat="1" applyFont="1" applyFill="1" applyBorder="1" applyAlignment="1">
      <alignment horizontal="right" vertical="center" wrapText="1"/>
    </xf>
    <xf numFmtId="0" fontId="24" fillId="0" borderId="0" xfId="0" applyFont="1" applyFill="1" applyAlignment="1">
      <alignment horizontal="center" vertical="center" wrapText="1"/>
    </xf>
    <xf numFmtId="10" fontId="13" fillId="0" borderId="10" xfId="0" applyNumberFormat="1" applyFont="1" applyFill="1" applyBorder="1" applyAlignment="1">
      <alignment horizontal="right" vertical="center" wrapText="1"/>
    </xf>
    <xf numFmtId="10" fontId="13" fillId="0" borderId="21" xfId="0" applyNumberFormat="1" applyFont="1" applyFill="1" applyBorder="1" applyAlignment="1">
      <alignment horizontal="right" vertical="center" wrapText="1"/>
    </xf>
    <xf numFmtId="2" fontId="13" fillId="0" borderId="5" xfId="0" applyNumberFormat="1" applyFont="1" applyFill="1" applyBorder="1" applyAlignment="1">
      <alignment horizontal="right" vertical="center" wrapText="1"/>
    </xf>
    <xf numFmtId="2" fontId="13" fillId="0" borderId="1" xfId="0" applyNumberFormat="1" applyFont="1" applyFill="1" applyBorder="1" applyAlignment="1">
      <alignment horizontal="right" vertical="center" wrapText="1"/>
    </xf>
    <xf numFmtId="2" fontId="13" fillId="0" borderId="13" xfId="0" applyNumberFormat="1" applyFont="1" applyFill="1" applyBorder="1" applyAlignment="1">
      <alignment horizontal="right" vertical="center" wrapText="1"/>
    </xf>
    <xf numFmtId="2" fontId="13" fillId="0" borderId="28" xfId="0" applyNumberFormat="1" applyFont="1" applyFill="1" applyBorder="1" applyAlignment="1">
      <alignment horizontal="right" vertical="center" wrapText="1"/>
    </xf>
    <xf numFmtId="10" fontId="13" fillId="0" borderId="1" xfId="0" applyNumberFormat="1" applyFont="1" applyFill="1" applyBorder="1" applyAlignment="1">
      <alignment horizontal="right" vertical="center" wrapText="1"/>
    </xf>
    <xf numFmtId="10" fontId="13" fillId="0" borderId="8" xfId="0" applyNumberFormat="1" applyFont="1" applyFill="1" applyBorder="1" applyAlignment="1">
      <alignment horizontal="right"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2" xfId="0" applyFont="1" applyBorder="1" applyAlignment="1">
      <alignment horizontal="center" vertical="center" wrapText="1"/>
    </xf>
    <xf numFmtId="1" fontId="13" fillId="0" borderId="1" xfId="0" applyNumberFormat="1" applyFont="1" applyBorder="1" applyAlignment="1">
      <alignment vertical="center" wrapText="1"/>
    </xf>
    <xf numFmtId="10" fontId="13" fillId="0" borderId="8" xfId="0" applyNumberFormat="1" applyFont="1" applyBorder="1" applyAlignment="1">
      <alignment horizontal="right" vertical="center" wrapText="1"/>
    </xf>
    <xf numFmtId="10" fontId="13" fillId="0" borderId="1" xfId="0" applyNumberFormat="1" applyFont="1" applyBorder="1" applyAlignment="1">
      <alignment horizontal="right" vertical="center" wrapText="1"/>
    </xf>
    <xf numFmtId="2" fontId="13" fillId="0" borderId="30" xfId="0" applyNumberFormat="1" applyFont="1" applyFill="1" applyBorder="1" applyAlignment="1">
      <alignment horizontal="right" vertical="center" wrapText="1"/>
    </xf>
    <xf numFmtId="2" fontId="13" fillId="0" borderId="31" xfId="0" applyNumberFormat="1" applyFont="1" applyFill="1" applyBorder="1" applyAlignment="1">
      <alignment horizontal="right" vertical="center" wrapText="1"/>
    </xf>
    <xf numFmtId="0" fontId="8" fillId="0" borderId="0" xfId="0" applyFont="1" applyAlignment="1">
      <alignment horizontal="center"/>
    </xf>
    <xf numFmtId="0" fontId="4" fillId="0" borderId="0" xfId="0" applyFont="1" applyAlignment="1">
      <alignment horizontal="center" vertical="center" wrapText="1"/>
    </xf>
    <xf numFmtId="0" fontId="5" fillId="0" borderId="0" xfId="0" applyFont="1" applyAlignment="1">
      <alignment horizontal="center" vertical="center" wrapText="1"/>
    </xf>
    <xf numFmtId="0" fontId="3" fillId="0" borderId="4" xfId="0" applyFont="1" applyBorder="1" applyAlignment="1">
      <alignment horizontal="center" vertical="center" wrapText="1"/>
    </xf>
    <xf numFmtId="0" fontId="3" fillId="0" borderId="7" xfId="0" applyFont="1" applyBorder="1" applyAlignment="1">
      <alignment horizontal="center" vertical="center" wrapText="1"/>
    </xf>
    <xf numFmtId="10" fontId="13" fillId="0" borderId="11" xfId="0" applyNumberFormat="1" applyFont="1" applyBorder="1" applyAlignment="1">
      <alignment horizontal="right" vertical="center" wrapText="1"/>
    </xf>
    <xf numFmtId="10" fontId="13" fillId="0" borderId="23" xfId="0" applyNumberFormat="1" applyFont="1" applyBorder="1" applyAlignment="1">
      <alignment horizontal="right" vertical="center" wrapText="1"/>
    </xf>
    <xf numFmtId="10" fontId="13" fillId="0" borderId="22" xfId="0" applyNumberFormat="1" applyFont="1" applyBorder="1" applyAlignment="1">
      <alignment horizontal="right" vertical="center" wrapText="1"/>
    </xf>
    <xf numFmtId="0" fontId="12" fillId="0" borderId="25" xfId="0" applyFont="1" applyBorder="1" applyAlignment="1">
      <alignment horizontal="left" vertical="center" wrapText="1"/>
    </xf>
    <xf numFmtId="0" fontId="12" fillId="0" borderId="26" xfId="0" applyFont="1" applyBorder="1" applyAlignment="1">
      <alignment horizontal="left" vertical="center" wrapText="1"/>
    </xf>
    <xf numFmtId="0" fontId="12" fillId="0" borderId="27" xfId="0" applyFont="1" applyBorder="1" applyAlignment="1">
      <alignment horizontal="left" vertical="center" wrapText="1"/>
    </xf>
    <xf numFmtId="0" fontId="43" fillId="0" borderId="33" xfId="1" applyFont="1" applyFill="1" applyBorder="1" applyAlignment="1">
      <alignment horizontal="center" vertical="center" wrapText="1"/>
    </xf>
    <xf numFmtId="0" fontId="43" fillId="0" borderId="34" xfId="1" applyFont="1" applyFill="1" applyBorder="1" applyAlignment="1">
      <alignment horizontal="center" vertical="center" wrapText="1"/>
    </xf>
    <xf numFmtId="0" fontId="43" fillId="0" borderId="35" xfId="1" applyFont="1" applyFill="1" applyBorder="1" applyAlignment="1">
      <alignment horizontal="center" vertical="center" wrapText="1"/>
    </xf>
    <xf numFmtId="0" fontId="46" fillId="0" borderId="25" xfId="1" applyFont="1" applyFill="1" applyBorder="1" applyAlignment="1">
      <alignment horizontal="center" vertical="center" wrapText="1"/>
    </xf>
    <xf numFmtId="0" fontId="46" fillId="0" borderId="26" xfId="1" applyFont="1" applyFill="1" applyBorder="1" applyAlignment="1">
      <alignment horizontal="center" vertical="center" wrapText="1"/>
    </xf>
    <xf numFmtId="0" fontId="46" fillId="0" borderId="27" xfId="1" applyFont="1" applyFill="1" applyBorder="1" applyAlignment="1">
      <alignment horizontal="center" vertical="center" wrapText="1"/>
    </xf>
    <xf numFmtId="0" fontId="45" fillId="0" borderId="3" xfId="1" applyFont="1" applyFill="1" applyBorder="1" applyAlignment="1">
      <alignment horizontal="center" vertical="center" wrapText="1"/>
    </xf>
    <xf numFmtId="0" fontId="45" fillId="0" borderId="5" xfId="1" applyFont="1" applyFill="1" applyBorder="1" applyAlignment="1">
      <alignment horizontal="center" vertical="center" wrapText="1"/>
    </xf>
    <xf numFmtId="0" fontId="45" fillId="0" borderId="4" xfId="1" applyFont="1" applyFill="1" applyBorder="1" applyAlignment="1">
      <alignment horizontal="center" vertical="center" wrapText="1"/>
    </xf>
    <xf numFmtId="0" fontId="45" fillId="0" borderId="1" xfId="1" applyFont="1" applyFill="1" applyBorder="1" applyAlignment="1">
      <alignment horizontal="center" vertical="center" wrapText="1"/>
    </xf>
    <xf numFmtId="0" fontId="45" fillId="0" borderId="7" xfId="1" applyFont="1" applyFill="1" applyBorder="1" applyAlignment="1">
      <alignment horizontal="center" vertical="center" wrapText="1"/>
    </xf>
    <xf numFmtId="0" fontId="45" fillId="0" borderId="8" xfId="1" applyFont="1" applyFill="1" applyBorder="1" applyAlignment="1">
      <alignment horizontal="center" vertical="center" wrapText="1"/>
    </xf>
    <xf numFmtId="0" fontId="45" fillId="0" borderId="13" xfId="1" applyFont="1" applyFill="1" applyBorder="1" applyAlignment="1">
      <alignment horizontal="center" vertical="center" wrapText="1"/>
    </xf>
    <xf numFmtId="0" fontId="45" fillId="0" borderId="37" xfId="1" applyFont="1" applyFill="1" applyBorder="1" applyAlignment="1">
      <alignment horizontal="center" vertical="center" wrapText="1"/>
    </xf>
    <xf numFmtId="0" fontId="45" fillId="0" borderId="38" xfId="1" applyFont="1" applyFill="1" applyBorder="1" applyAlignment="1">
      <alignment horizontal="center" vertical="center" wrapText="1"/>
    </xf>
    <xf numFmtId="0" fontId="48" fillId="0" borderId="11" xfId="1" applyFont="1" applyFill="1" applyBorder="1" applyAlignment="1">
      <alignment horizontal="center" vertical="center" wrapText="1"/>
    </xf>
    <xf numFmtId="0" fontId="48" fillId="0" borderId="23" xfId="1" applyFont="1" applyFill="1" applyBorder="1" applyAlignment="1">
      <alignment horizontal="center" vertical="center" wrapText="1"/>
    </xf>
    <xf numFmtId="0" fontId="48" fillId="0" borderId="40" xfId="1" applyFont="1" applyFill="1" applyBorder="1" applyAlignment="1">
      <alignment horizontal="center" vertical="center" wrapText="1"/>
    </xf>
    <xf numFmtId="0" fontId="53" fillId="0" borderId="19" xfId="1" applyFont="1" applyFill="1" applyBorder="1" applyAlignment="1">
      <alignment horizontal="center" vertical="center" wrapText="1"/>
    </xf>
    <xf numFmtId="0" fontId="53" fillId="0" borderId="26" xfId="1" applyFont="1" applyFill="1" applyBorder="1" applyAlignment="1">
      <alignment horizontal="center" vertical="center" wrapText="1"/>
    </xf>
    <xf numFmtId="0" fontId="53" fillId="0" borderId="39" xfId="1" applyFont="1" applyFill="1" applyBorder="1" applyAlignment="1">
      <alignment horizontal="center" vertical="center" wrapText="1"/>
    </xf>
    <xf numFmtId="0" fontId="45" fillId="0" borderId="6" xfId="1" applyFont="1" applyFill="1" applyBorder="1" applyAlignment="1">
      <alignment horizontal="center" vertical="center" wrapText="1"/>
    </xf>
    <xf numFmtId="0" fontId="83" fillId="0" borderId="0" xfId="0" applyFont="1" applyFill="1" applyAlignment="1">
      <alignment horizontal="center" vertical="center"/>
    </xf>
    <xf numFmtId="0" fontId="85" fillId="0" borderId="0" xfId="0" applyFont="1" applyFill="1" applyAlignment="1">
      <alignment horizontal="center" vertical="center" wrapText="1"/>
    </xf>
    <xf numFmtId="0" fontId="86" fillId="0" borderId="54" xfId="0" applyFont="1" applyFill="1" applyBorder="1" applyAlignment="1">
      <alignment horizontal="center" vertical="center"/>
    </xf>
    <xf numFmtId="0" fontId="86" fillId="0" borderId="37" xfId="0" applyFont="1" applyFill="1" applyBorder="1" applyAlignment="1">
      <alignment horizontal="center" vertical="center"/>
    </xf>
    <xf numFmtId="0" fontId="86" fillId="0" borderId="38" xfId="0" applyFont="1" applyFill="1" applyBorder="1" applyAlignment="1">
      <alignment horizontal="center" vertical="center"/>
    </xf>
    <xf numFmtId="0" fontId="86" fillId="8" borderId="9" xfId="0" applyFont="1" applyFill="1" applyBorder="1" applyAlignment="1">
      <alignment horizontal="center" vertical="center" wrapText="1"/>
    </xf>
    <xf numFmtId="0" fontId="86" fillId="8" borderId="55" xfId="0" applyFont="1" applyFill="1" applyBorder="1" applyAlignment="1">
      <alignment horizontal="center" vertical="center" wrapText="1"/>
    </xf>
    <xf numFmtId="0" fontId="86" fillId="0" borderId="4" xfId="0" applyFont="1" applyFill="1" applyBorder="1" applyAlignment="1">
      <alignment horizontal="center" vertical="center" wrapText="1"/>
    </xf>
    <xf numFmtId="0" fontId="86" fillId="0" borderId="7" xfId="0" applyFont="1" applyFill="1" applyBorder="1" applyAlignment="1">
      <alignment horizontal="center" vertical="center" wrapText="1"/>
    </xf>
    <xf numFmtId="1" fontId="87" fillId="9" borderId="1" xfId="0" applyNumberFormat="1" applyFont="1" applyFill="1" applyBorder="1" applyAlignment="1">
      <alignment horizontal="center" vertical="center" wrapText="1"/>
    </xf>
    <xf numFmtId="1" fontId="87" fillId="0" borderId="1" xfId="0" applyNumberFormat="1" applyFont="1" applyFill="1" applyBorder="1" applyAlignment="1">
      <alignment horizontal="center" vertical="center" wrapText="1"/>
    </xf>
    <xf numFmtId="1" fontId="87" fillId="0" borderId="8" xfId="0" applyNumberFormat="1" applyFont="1" applyFill="1" applyBorder="1" applyAlignment="1">
      <alignment horizontal="center" vertical="center" wrapText="1"/>
    </xf>
    <xf numFmtId="1" fontId="86" fillId="9" borderId="2" xfId="0" applyNumberFormat="1" applyFont="1" applyFill="1" applyBorder="1" applyAlignment="1">
      <alignment horizontal="center" vertical="center"/>
    </xf>
    <xf numFmtId="1" fontId="86" fillId="0" borderId="2" xfId="0" applyNumberFormat="1" applyFont="1" applyFill="1" applyBorder="1" applyAlignment="1">
      <alignment horizontal="center" vertical="center"/>
    </xf>
    <xf numFmtId="1" fontId="86" fillId="0" borderId="12" xfId="0" applyNumberFormat="1" applyFont="1" applyFill="1" applyBorder="1" applyAlignment="1">
      <alignment horizontal="center" vertical="center"/>
    </xf>
    <xf numFmtId="0" fontId="88" fillId="0" borderId="33" xfId="0" applyFont="1" applyFill="1" applyBorder="1" applyAlignment="1">
      <alignment horizontal="center" vertical="center" wrapText="1"/>
    </xf>
    <xf numFmtId="0" fontId="88" fillId="0" borderId="34" xfId="0" applyFont="1" applyFill="1" applyBorder="1" applyAlignment="1">
      <alignment horizontal="center" vertical="center" wrapText="1"/>
    </xf>
    <xf numFmtId="0" fontId="88" fillId="0" borderId="35" xfId="0" applyFont="1" applyFill="1" applyBorder="1" applyAlignment="1">
      <alignment horizontal="center" vertical="center" wrapText="1"/>
    </xf>
    <xf numFmtId="0" fontId="45" fillId="0" borderId="18" xfId="0" applyFont="1" applyFill="1" applyBorder="1" applyAlignment="1">
      <alignment horizontal="left" vertical="center" wrapText="1"/>
    </xf>
    <xf numFmtId="0" fontId="45" fillId="0" borderId="20" xfId="0" applyFont="1" applyFill="1" applyBorder="1" applyAlignment="1">
      <alignment horizontal="left" vertical="center" wrapText="1"/>
    </xf>
    <xf numFmtId="0" fontId="45" fillId="0" borderId="15" xfId="0" applyFont="1" applyFill="1" applyBorder="1" applyAlignment="1">
      <alignment horizontal="left" vertical="center" wrapText="1"/>
    </xf>
    <xf numFmtId="0" fontId="89" fillId="12" borderId="58" xfId="0" applyFont="1" applyFill="1" applyBorder="1" applyAlignment="1">
      <alignment horizontal="center" vertical="center" wrapText="1"/>
    </xf>
    <xf numFmtId="0" fontId="89" fillId="12" borderId="59" xfId="0" applyFont="1" applyFill="1" applyBorder="1" applyAlignment="1">
      <alignment horizontal="center" vertical="center"/>
    </xf>
    <xf numFmtId="0" fontId="89" fillId="12" borderId="3" xfId="0" applyFont="1" applyFill="1" applyBorder="1" applyAlignment="1">
      <alignment horizontal="center" vertical="center"/>
    </xf>
    <xf numFmtId="0" fontId="89" fillId="12" borderId="4" xfId="0" applyFont="1" applyFill="1" applyBorder="1" applyAlignment="1">
      <alignment horizontal="center" vertical="center"/>
    </xf>
    <xf numFmtId="0" fontId="89" fillId="12" borderId="7" xfId="0" applyFont="1" applyFill="1" applyBorder="1" applyAlignment="1">
      <alignment horizontal="center" vertical="center"/>
    </xf>
    <xf numFmtId="0" fontId="50" fillId="0" borderId="13" xfId="0" applyFont="1" applyFill="1" applyBorder="1" applyAlignment="1">
      <alignment horizontal="center" vertical="center" wrapText="1"/>
    </xf>
    <xf numFmtId="0" fontId="50" fillId="0" borderId="28" xfId="0" applyFont="1" applyFill="1" applyBorder="1" applyAlignment="1">
      <alignment horizontal="center" vertical="center" wrapText="1"/>
    </xf>
    <xf numFmtId="0" fontId="50" fillId="0" borderId="18" xfId="0" applyFont="1" applyFill="1" applyBorder="1" applyAlignment="1">
      <alignment horizontal="center" vertical="center"/>
    </xf>
    <xf numFmtId="0" fontId="50" fillId="0" borderId="20" xfId="0" applyFont="1" applyFill="1" applyBorder="1" applyAlignment="1">
      <alignment horizontal="center" vertical="center"/>
    </xf>
    <xf numFmtId="0" fontId="50" fillId="0" borderId="10" xfId="0" applyFont="1" applyFill="1" applyBorder="1" applyAlignment="1">
      <alignment horizontal="center" vertical="center"/>
    </xf>
    <xf numFmtId="0" fontId="50" fillId="0" borderId="21" xfId="0" applyFont="1" applyFill="1" applyBorder="1" applyAlignment="1">
      <alignment horizontal="center" vertical="center"/>
    </xf>
  </cellXfs>
  <cellStyles count="2537">
    <cellStyle name="??                          " xfId="5"/>
    <cellStyle name="??_kc-elec system check list" xfId="6"/>
    <cellStyle name="_% A'ity of lines of Achhalia for JAN-06" xfId="7"/>
    <cellStyle name="_% A'ity of lines of Achhalia for JAN-06_JGY BM Cross FDR" xfId="8"/>
    <cellStyle name="_(H)(7)(B)INTRP.LINE" xfId="9"/>
    <cellStyle name="_(H)(7)(B)INTRP.LINE_Activity since Feb-2008" xfId="10"/>
    <cellStyle name="_(H)(7)(B)INTRP.LINE_Activity since Feb-2008_JGY BM Cross FDR" xfId="11"/>
    <cellStyle name="_(H)(7)(B)INTRP.LINE_Book1" xfId="12"/>
    <cellStyle name="_(H)(7)(B)INTRP.LINE_Breaker timing test" xfId="13"/>
    <cellStyle name="_(H)(7)(B)INTRP.LINE_Breaker timing test_JGY BM Cross FDR" xfId="14"/>
    <cellStyle name="_(H)(7)(B)INTRP.LINE_Copy of Zone- Formate for meeting 15.7.08" xfId="15"/>
    <cellStyle name="_(H)(7)(B)INTRP.LINE_Copy of Zone- Formate for meeting 30.8.08" xfId="16"/>
    <cellStyle name="_(H)(7)(B)INTRP.LINE_Copy of Zone- Formate for meeting 30.9.08" xfId="17"/>
    <cellStyle name="_(H)(7)(B)INTRP.LINE_MD Visit - 10.9.08" xfId="18"/>
    <cellStyle name="_(H)(7)(B)INTRP.LINE_Project Meeting-8.7.08" xfId="19"/>
    <cellStyle name="_12.EA MARCH 2006 " xfId="20"/>
    <cellStyle name="_12.EA MARCH 2006 _JGY BM Cross FDR" xfId="21"/>
    <cellStyle name="_16 LOAD DATA REVIEW POINT -16" xfId="22"/>
    <cellStyle name="_16 LOAD DATA REVIEW POINT -16_JGY BM Cross FDR" xfId="23"/>
    <cellStyle name="_2008-09 augmentation" xfId="24"/>
    <cellStyle name="_2008-09 augmentation_JGY BM Cross FDR" xfId="25"/>
    <cellStyle name="_24 11 KV VCB DETAIL POINT -24" xfId="26"/>
    <cellStyle name="_24 11 KV VCB DETAIL POINT -24_JGY BM Cross FDR" xfId="27"/>
    <cellStyle name="_24A 11KV SS WISE  BREAKER POINT-24 A" xfId="28"/>
    <cellStyle name="_24A 11KV SS WISE  BREAKER POINT-24 A_JGY BM Cross FDR" xfId="29"/>
    <cellStyle name="_2nd Qtr. max. load .PRINT" xfId="30"/>
    <cellStyle name="_34  T &amp; D LOSSES POINT 34" xfId="31"/>
    <cellStyle name="_34  T &amp; D LOSSES POINT 34_JGY BM Cross FDR" xfId="32"/>
    <cellStyle name="_3RDV QTRLOAD data" xfId="33"/>
    <cellStyle name="_3RDV QTRLOAD data_Activity since Feb-2008" xfId="34"/>
    <cellStyle name="_3RDV QTRLOAD data_Activity since Feb-2008_JGY BM Cross FDR" xfId="35"/>
    <cellStyle name="_3RDV QTRLOAD data_Gondal(REC)-after S'nagar" xfId="36"/>
    <cellStyle name="_3RDV QTRLOAD data_Zone-summary" xfId="37"/>
    <cellStyle name="_3RDV QTRLOAD data_Zone-summary_JGY BM Cross FDR" xfId="38"/>
    <cellStyle name="_5.11.07" xfId="39"/>
    <cellStyle name="_5.11.07_Activity since Feb-2008" xfId="40"/>
    <cellStyle name="_5.11.07_Activity since Feb-2008_JGY BM Cross FDR" xfId="41"/>
    <cellStyle name="_5.11.07_ANNEXURE-PERFORMANCE" xfId="42"/>
    <cellStyle name="_5.11.07_ANNEXURE-PERFORMANCE_Activity since Feb-2008" xfId="43"/>
    <cellStyle name="_5.11.07_ANNEXURE-PERFORMANCE_Activity since Feb-2008_JGY BM Cross FDR" xfId="44"/>
    <cellStyle name="_5.11.07_Book1" xfId="45"/>
    <cellStyle name="_5.11.07_Book3" xfId="46"/>
    <cellStyle name="_5.11.07_lines coverd in R &amp; M for 2007-08 and 2008-09" xfId="47"/>
    <cellStyle name="_5.11.07_lines coverd in R &amp; M for 2007-08 and 2008-09_JGY BM Cross FDR" xfId="48"/>
    <cellStyle name="_5.11.07_Zone-summary" xfId="49"/>
    <cellStyle name="_5.11.07_Zone-summary_JGY BM Cross FDR" xfId="50"/>
    <cellStyle name="_66 132kv Interruption" xfId="51"/>
    <cellStyle name="_66 132kv Interruption_JGY BM Cross FDR" xfId="52"/>
    <cellStyle name="_8.2 and 8.1" xfId="53"/>
    <cellStyle name="_8.2 and 8.1_JGY BM Cross FDR" xfId="54"/>
    <cellStyle name="_Accd Dec - PAR" xfId="55"/>
    <cellStyle name="_Accd Dec - PAR_JGY BM Cross FDR" xfId="56"/>
    <cellStyle name="_Accd upto respective Month" xfId="57"/>
    <cellStyle name="_Accd upto respective Month_JGY BM Cross FDR" xfId="58"/>
    <cellStyle name="_All April - 07" xfId="59"/>
    <cellStyle name="_All April - 07_JGY BM Cross FDR" xfId="60"/>
    <cellStyle name="_All Feb.-07" xfId="61"/>
    <cellStyle name="_All Feb.-07_JGY BM Cross FDR" xfId="62"/>
    <cellStyle name="_All Jan.-07" xfId="63"/>
    <cellStyle name="_All Jan.-07_JGY BM Cross FDR" xfId="64"/>
    <cellStyle name="_All July - 07" xfId="65"/>
    <cellStyle name="_All July - 07_JGY BM Cross FDR" xfId="66"/>
    <cellStyle name="_All June - 07" xfId="67"/>
    <cellStyle name="_All June - 07_JGY BM Cross FDR" xfId="68"/>
    <cellStyle name="_All March-07" xfId="69"/>
    <cellStyle name="_All March-07_JGY BM Cross FDR" xfId="70"/>
    <cellStyle name="_All May - 07" xfId="71"/>
    <cellStyle name="_All May - 07_JGY BM Cross FDR" xfId="72"/>
    <cellStyle name="_All Nov.-06" xfId="73"/>
    <cellStyle name="_All Nov.-06_JGY BM Cross FDR" xfId="74"/>
    <cellStyle name="_All Oct - 07" xfId="75"/>
    <cellStyle name="_All Oct - 07_JGY BM Cross FDR" xfId="76"/>
    <cellStyle name="_All Sept - 07" xfId="77"/>
    <cellStyle name="_All Sept - 07_JGY BM Cross FDR" xfId="78"/>
    <cellStyle name="_AMR" xfId="79"/>
    <cellStyle name="_AMR_Gondal(REC)-after S'nagar" xfId="80"/>
    <cellStyle name="_AMR_JGY BM Cross FDR" xfId="81"/>
    <cellStyle name="_ANJ" xfId="82"/>
    <cellStyle name="_ANJ_Gondal(REC)-after S'nagar" xfId="83"/>
    <cellStyle name="_ANJ_JGY BM Cross FDR" xfId="84"/>
    <cellStyle name="_ANNEXURE-PERFORMANCE" xfId="85"/>
    <cellStyle name="_ANNEXURE-PERFORMANCE_JGY BM Cross FDR" xfId="86"/>
    <cellStyle name="_APFC Detail ON 25.01.08" xfId="87"/>
    <cellStyle name="_APFC Detail ON 25.01.08_JGY BM Cross FDR" xfId="88"/>
    <cellStyle name="_APFC FEEDBACK REPORT1" xfId="89"/>
    <cellStyle name="_APFC FEEDBACK REPORT1_JGY BM Cross FDR" xfId="90"/>
    <cellStyle name="_APFC PERFORMANCE - 21.01.08 PBR" xfId="91"/>
    <cellStyle name="_APFC PERFORMANCE - 21.01.08 PBR_JGY BM Cross FDR" xfId="92"/>
    <cellStyle name="_April-07" xfId="93"/>
    <cellStyle name="_April-07_JGY BM Cross FDR" xfId="94"/>
    <cellStyle name="_As on 05.11.06" xfId="95"/>
    <cellStyle name="_As on 05.11.06_Activity since Feb-2008" xfId="96"/>
    <cellStyle name="_As on 05.11.06_Activity since Feb-2008_JGY BM Cross FDR" xfId="97"/>
    <cellStyle name="_As on 05.11.06_Book1" xfId="98"/>
    <cellStyle name="_As on 05.11.06_Breaker timing test" xfId="99"/>
    <cellStyle name="_As on 05.11.06_Breaker timing test_JGY BM Cross FDR" xfId="100"/>
    <cellStyle name="_As on 05.11.06_Copy of Zone- Formate for meeting 15.7.08" xfId="101"/>
    <cellStyle name="_As on 05.11.06_Copy of Zone- Formate for meeting 30.8.08" xfId="102"/>
    <cellStyle name="_As on 05.11.06_Copy of Zone- Formate for meeting 30.9.08" xfId="103"/>
    <cellStyle name="_As on 05.11.06_EC - Zone with reason" xfId="104"/>
    <cellStyle name="_As on 05.11.06_Gondal(REC)-after S'nagar" xfId="105"/>
    <cellStyle name="_As on 05.11.06_MD Visit - 10.9.08" xfId="106"/>
    <cellStyle name="_As on 05.11.06_Project Meeting-8.7.08" xfId="107"/>
    <cellStyle name="_augmentation 2007-08" xfId="108"/>
    <cellStyle name="_augmentation 2007-08_JGY BM Cross FDR" xfId="109"/>
    <cellStyle name="_Augmentation 2008-09" xfId="110"/>
    <cellStyle name="_Augmentation 2008-09_Activity since Feb-2008" xfId="111"/>
    <cellStyle name="_Augmentation 2008-09_Activity since Feb-2008_JGY BM Cross FDR" xfId="112"/>
    <cellStyle name="_Augmentation 2008-09_Zone-summary" xfId="113"/>
    <cellStyle name="_Augmentation 2008-09_Zone-summary_JGY BM Cross FDR" xfId="114"/>
    <cellStyle name="_Aux.cons" xfId="115"/>
    <cellStyle name="_Aux.cons_cum-JUL09" xfId="116"/>
    <cellStyle name="_Aux.cons_cum-JUN09" xfId="117"/>
    <cellStyle name="_Aux.cons_cum-NOV09" xfId="118"/>
    <cellStyle name="_Aux.cons_cum-OCT09" xfId="119"/>
    <cellStyle name="_Aux.cons_cum-SEP09" xfId="120"/>
    <cellStyle name="_Aux.cons_Format mat req 08-09" xfId="121"/>
    <cellStyle name="_Aux.cons_LOSS DATA NOV-09" xfId="122"/>
    <cellStyle name="_Aux.cons_loss projection" xfId="123"/>
    <cellStyle name="_Aux.cons_se conf tnd compr" xfId="124"/>
    <cellStyle name="_Availability Aug.-07" xfId="125"/>
    <cellStyle name="_Availability Aug.-07_JGY BM Cross FDR" xfId="126"/>
    <cellStyle name="_Availability Jan.-08" xfId="127"/>
    <cellStyle name="_Availability Jan.-08_JGY BM Cross FDR" xfId="128"/>
    <cellStyle name="_Availability July-07" xfId="129"/>
    <cellStyle name="_Availability July-07_JGY BM Cross FDR" xfId="130"/>
    <cellStyle name="_Availability Oct.-07" xfId="131"/>
    <cellStyle name="_Availability Oct.-07_JGY BM Cross FDR" xfId="132"/>
    <cellStyle name="_Availability Sept.-07" xfId="133"/>
    <cellStyle name="_Availability Sept.-07_JGY BM Cross FDR" xfId="134"/>
    <cellStyle name="_Bharuch April-06_T_D" xfId="135"/>
    <cellStyle name="_Bharuch April-06_T_D_JGY BM Cross FDR" xfId="136"/>
    <cellStyle name="_BharuchMarch-06_T_D" xfId="137"/>
    <cellStyle name="_BharuchMarch-06_T_D_JGY BM Cross FDR" xfId="138"/>
    <cellStyle name="_Breaker timing test" xfId="139"/>
    <cellStyle name="_Breaker timing test_JGY BM Cross FDR" xfId="140"/>
    <cellStyle name="_BRH" xfId="141"/>
    <cellStyle name="_BRH_JGY BM Cross FDR" xfId="142"/>
    <cellStyle name="_Cause Analyses as per Inv. Report" xfId="143"/>
    <cellStyle name="_Cent.Sect" xfId="144"/>
    <cellStyle name="_Cent.Sect_cum-JUL09" xfId="145"/>
    <cellStyle name="_Cent.Sect_cum-JUN09" xfId="146"/>
    <cellStyle name="_Cent.Sect_cum-NOV09" xfId="147"/>
    <cellStyle name="_Cent.Sect_cum-OCT09" xfId="148"/>
    <cellStyle name="_Cent.Sect_cum-SEP09" xfId="149"/>
    <cellStyle name="_Cent.Sect_Format mat req 08-09" xfId="150"/>
    <cellStyle name="_Cent.Sect_LOSS DATA NOV-09" xfId="151"/>
    <cellStyle name="_Cent.Sect_loss projection" xfId="152"/>
    <cellStyle name="_Cent.Sect_se conf tnd compr" xfId="153"/>
    <cellStyle name="_Circle as a whole T&amp;D losses  April-05 to Feb-06" xfId="154"/>
    <cellStyle name="_Circle as a whole T&amp;D losses  April-05 to Feb-06_JGY BM Cross FDR" xfId="155"/>
    <cellStyle name="_CIRCLE FINAL R&amp;M SUMMARY (Brh, Meh, GDLZone)" xfId="156"/>
    <cellStyle name="_CIRCLE FINAL R&amp;M SUMMARY (Brh, Meh, GDLZone)_JGY BM Cross FDR" xfId="157"/>
    <cellStyle name="_CO MAX MVA 2007-08 1,2,3,4 QTR" xfId="158"/>
    <cellStyle name="_CO MAX MVA 2007-08 1,2,3,4 QTR_JGY BM Cross FDR" xfId="159"/>
    <cellStyle name="_CO MAX MVA 2007-08 III QTR" xfId="160"/>
    <cellStyle name="_CO MAX MVA 2007-08 III QTR_JGY BM Cross FDR" xfId="161"/>
    <cellStyle name="_CO SUBMISSION" xfId="162"/>
    <cellStyle name="_CO SUBMISSION_JGY BM Cross FDR" xfId="163"/>
    <cellStyle name="_COSTAL LINES" xfId="164"/>
    <cellStyle name="_Costal lines_5.11.07" xfId="165"/>
    <cellStyle name="_Costal lines_5.11.07_Activity since Feb-2008" xfId="166"/>
    <cellStyle name="_Costal lines_5.11.07_Activity since Feb-2008_JGY BM Cross FDR" xfId="167"/>
    <cellStyle name="_Costal lines_5.11.07_Book1" xfId="168"/>
    <cellStyle name="_Costal lines_5.11.07_Copy of Zone- Formate for meeting 15.7.08" xfId="169"/>
    <cellStyle name="_Costal lines_5.11.07_Copy of Zone- Formate for meeting 30.8.08" xfId="170"/>
    <cellStyle name="_Costal lines_5.11.07_Copy of Zone- Formate for meeting 30.9.08" xfId="171"/>
    <cellStyle name="_Costal lines_5.11.07_Gondal Zone Dtd.23.6.08" xfId="172"/>
    <cellStyle name="_Costal lines_5.11.07_Gondal Zone Dtd.23.6.08_JGY BM Cross FDR" xfId="173"/>
    <cellStyle name="_Costal lines_5.11.07_lines coverd in R &amp; M for 2007-08 and 2008-09" xfId="174"/>
    <cellStyle name="_Costal lines_5.11.07_lines coverd in R &amp; M for 2007-08 and 2008-09_JGY BM Cross FDR" xfId="175"/>
    <cellStyle name="_Costal lines_5.11.07_MD Visit - 10.9.08" xfId="176"/>
    <cellStyle name="_Costal lines_5.11.07_Project Meeting-8.7.08" xfId="177"/>
    <cellStyle name="_Costal lines_5.11.07_Zone-summary" xfId="178"/>
    <cellStyle name="_Costal lines_5.11.07_Zone-summary_JGY BM Cross FDR" xfId="179"/>
    <cellStyle name="_COSTAL LINES_ANNEXURE-PERFORMANCE" xfId="180"/>
    <cellStyle name="_COSTAL LINES_ANNEXURE-PERFORMANCE_Activity since Feb-2008" xfId="181"/>
    <cellStyle name="_COSTAL LINES_ANNEXURE-PERFORMANCE_Activity since Feb-2008_JGY BM Cross FDR" xfId="182"/>
    <cellStyle name="_COSTAL LINES_Book1" xfId="183"/>
    <cellStyle name="_COSTAL LINES_Book3" xfId="184"/>
    <cellStyle name="_Costal lines_costal progress 1.2.08" xfId="185"/>
    <cellStyle name="_Costal lines_costal progress 1.2.08_JGY BM Cross FDR" xfId="186"/>
    <cellStyle name="_Costal lines_Gondal progrss report 12.5.08" xfId="187"/>
    <cellStyle name="_Costal lines_Gondal progrss report 12.5.08_JGY BM Cross FDR" xfId="188"/>
    <cellStyle name="_Costal lines_GONDAL ZONE" xfId="189"/>
    <cellStyle name="_Costal lines_Gondal Zone Bar Chart Coastal Area" xfId="190"/>
    <cellStyle name="_Costal lines_Gondal Zone Bar Chart Coastal Area_Activity since Feb-2008" xfId="191"/>
    <cellStyle name="_Costal lines_Gondal Zone Bar Chart Coastal Area_Activity since Feb-2008_JGY BM Cross FDR" xfId="192"/>
    <cellStyle name="_Costal lines_Gondal Zone Bar Chart Coastal Area_Monthly progress of ss &amp; line Jun-08" xfId="193"/>
    <cellStyle name="_Costal lines_Gondal Zone Bar Chart Coastal Area_Monthly progress of ss &amp; line Jun-08_JGY BM Cross FDR" xfId="194"/>
    <cellStyle name="_Costal lines_Gondal Zone Bar Chart Coastal Area_Zonal Gondal-R&amp;M MIS Jan(1).-08" xfId="195"/>
    <cellStyle name="_Costal lines_Gondal Zone Bar Chart Coastal Area_Zonal Gondal-R&amp;M MIS Jan(1).-08_Activity since Feb-2008" xfId="196"/>
    <cellStyle name="_Costal lines_Gondal Zone Bar Chart Coastal Area_Zonal Gondal-R&amp;M MIS Jan(1).-08_Activity since Feb-2008_JGY BM Cross FDR" xfId="197"/>
    <cellStyle name="_Costal lines_Gondal Zone Bar Chart Coastal Area_Zonal Gondal-R&amp;M MIS Jan(1).-08_Book1" xfId="198"/>
    <cellStyle name="_Costal lines_Gondal Zone Bar Chart Coastal Area_Zonal Gondal-R&amp;M MIS Jan(1).-08_Copy of Zone- Formate for meeting 15.7.08" xfId="199"/>
    <cellStyle name="_Costal lines_Gondal Zone Bar Chart Coastal Area_Zonal Gondal-R&amp;M MIS Jan(1).-08_Copy of Zone- Formate for meeting 30.8.08" xfId="200"/>
    <cellStyle name="_Costal lines_Gondal Zone Bar Chart Coastal Area_Zonal Gondal-R&amp;M MIS Jan(1).-08_Copy of Zone- Formate for meeting 30.9.08" xfId="201"/>
    <cellStyle name="_Costal lines_Gondal Zone Bar Chart Coastal Area_Zonal Gondal-R&amp;M MIS Jan(1).-08_MD Visit - 10.9.08" xfId="202"/>
    <cellStyle name="_Costal lines_Gondal Zone Bar Chart Coastal Area_Zonal Gondal-R&amp;M MIS Jan(1).-08_Project Meeting-8.7.08" xfId="203"/>
    <cellStyle name="_Costal lines_Gondal Zone Bar Chart Coastal Area_Zone- Formate for meeting 14.6.08" xfId="204"/>
    <cellStyle name="_Costal lines_Gondal Zone Bar Chart Coastal Area_Zone- Formate for meeting 14.6.08_JGY BM Cross FDR" xfId="205"/>
    <cellStyle name="_Costal lines_GONDAL ZONE_JGY BM Cross FDR" xfId="206"/>
    <cellStyle name="_Costal lines_Gondal zone-Details of coastal Area Lines" xfId="207"/>
    <cellStyle name="_Costal lines_Gondal zone-Details of coastal Area Lines_Activity since Feb-2008" xfId="208"/>
    <cellStyle name="_Costal lines_Gondal zone-Details of coastal Area Lines_Activity since Feb-2008_JGY BM Cross FDR" xfId="209"/>
    <cellStyle name="_Costal lines_Gondal zone-Details of coastal Area Lines_Monthly progress of ss &amp; line Jun-08" xfId="210"/>
    <cellStyle name="_Costal lines_Gondal zone-Details of coastal Area Lines_Monthly progress of ss &amp; line Jun-08_JGY BM Cross FDR" xfId="211"/>
    <cellStyle name="_Costal lines_Gondal zone-Details of coastal Area Lines_Zonal Gondal-R&amp;M MIS Jan(1).-08" xfId="212"/>
    <cellStyle name="_Costal lines_Gondal zone-Details of coastal Area Lines_Zonal Gondal-R&amp;M MIS Jan(1).-08_Activity since Feb-2008" xfId="213"/>
    <cellStyle name="_Costal lines_Gondal zone-Details of coastal Area Lines_Zonal Gondal-R&amp;M MIS Jan(1).-08_Activity since Feb-2008_JGY BM Cross FDR" xfId="214"/>
    <cellStyle name="_Costal lines_Gondal zone-Details of coastal Area Lines_Zonal Gondal-R&amp;M MIS Jan(1).-08_Book1" xfId="215"/>
    <cellStyle name="_Costal lines_Gondal zone-Details of coastal Area Lines_Zonal Gondal-R&amp;M MIS Jan(1).-08_Copy of Zone- Formate for meeting 15.7.08" xfId="216"/>
    <cellStyle name="_Costal lines_Gondal zone-Details of coastal Area Lines_Zonal Gondal-R&amp;M MIS Jan(1).-08_Copy of Zone- Formate for meeting 30.8.08" xfId="217"/>
    <cellStyle name="_Costal lines_Gondal zone-Details of coastal Area Lines_Zonal Gondal-R&amp;M MIS Jan(1).-08_Copy of Zone- Formate for meeting 30.9.08" xfId="218"/>
    <cellStyle name="_Costal lines_Gondal zone-Details of coastal Area Lines_Zonal Gondal-R&amp;M MIS Jan(1).-08_MD Visit - 10.9.08" xfId="219"/>
    <cellStyle name="_Costal lines_Gondal zone-Details of coastal Area Lines_Zonal Gondal-R&amp;M MIS Jan(1).-08_Project Meeting-8.7.08" xfId="220"/>
    <cellStyle name="_Costal lines_Gondal zone-Details of coastal Area Lines_Zone- Formate for meeting 14.6.08" xfId="221"/>
    <cellStyle name="_Costal lines_Gondal zone-Details of coastal Area Lines_Zone- Formate for meeting 14.6.08_JGY BM Cross FDR" xfId="222"/>
    <cellStyle name="_COSTAL LINES_JGY BM Cross FDR" xfId="223"/>
    <cellStyle name="_Costal lines_progress" xfId="224"/>
    <cellStyle name="_Costal lines_progress_Activity since Feb-2008" xfId="225"/>
    <cellStyle name="_Costal lines_progress_Activity since Feb-2008_JGY BM Cross FDR" xfId="226"/>
    <cellStyle name="_Costal lines_progress_Book1" xfId="227"/>
    <cellStyle name="_Costal lines_progress_Copy of Zone- Formate for meeting 15.7.08" xfId="228"/>
    <cellStyle name="_Costal lines_progress_Copy of Zone- Formate for meeting 30.8.08" xfId="229"/>
    <cellStyle name="_Costal lines_progress_Copy of Zone- Formate for meeting 30.9.08" xfId="230"/>
    <cellStyle name="_Costal lines_progress_Gondal Zone Dtd.23.6.08" xfId="231"/>
    <cellStyle name="_Costal lines_progress_Gondal Zone Dtd.23.6.08_JGY BM Cross FDR" xfId="232"/>
    <cellStyle name="_Costal lines_progress_lines coverd in R &amp; M for 2007-08 and 2008-09" xfId="233"/>
    <cellStyle name="_Costal lines_progress_lines coverd in R &amp; M for 2007-08 and 2008-09_JGY BM Cross FDR" xfId="234"/>
    <cellStyle name="_Costal lines_progress_MD Visit - 10.9.08" xfId="235"/>
    <cellStyle name="_Costal lines_progress_Project Meeting-8.7.08" xfId="236"/>
    <cellStyle name="_Costal lines_Pt.3(Costal)" xfId="237"/>
    <cellStyle name="_Costal lines_Pt.3(Costal)_Activity since Feb-2008" xfId="238"/>
    <cellStyle name="_Costal lines_Pt.3(Costal)_Activity since Feb-2008_JGY BM Cross FDR" xfId="239"/>
    <cellStyle name="_Costal lines_Pt.3(Costal)_Book1" xfId="240"/>
    <cellStyle name="_Costal lines_Pt.3(Costal)_Copy of Zone- Formate for meeting 15.7.08" xfId="241"/>
    <cellStyle name="_Costal lines_Pt.3(Costal)_Copy of Zone- Formate for meeting 30.8.08" xfId="242"/>
    <cellStyle name="_Costal lines_Pt.3(Costal)_Copy of Zone- Formate for meeting 30.9.08" xfId="243"/>
    <cellStyle name="_Costal lines_Pt.3(Costal)_Gondal Zone Dtd.23.6.08" xfId="244"/>
    <cellStyle name="_Costal lines_Pt.3(Costal)_Gondal Zone Dtd.23.6.08_JGY BM Cross FDR" xfId="245"/>
    <cellStyle name="_Costal lines_Pt.3(Costal)_lines coverd in R &amp; M for 2007-08 and 2008-09" xfId="246"/>
    <cellStyle name="_Costal lines_Pt.3(Costal)_lines coverd in R &amp; M for 2007-08 and 2008-09_JGY BM Cross FDR" xfId="247"/>
    <cellStyle name="_Costal lines_Pt.3(Costal)_MD Visit - 10.9.08" xfId="248"/>
    <cellStyle name="_Costal lines_Pt.3(Costal)_Project Meeting-8.7.08" xfId="249"/>
    <cellStyle name="_Costal lines_Pt.3(Costal)_Zone-summary" xfId="250"/>
    <cellStyle name="_Costal lines_Pt.3(Costal)_Zone-summary_JGY BM Cross FDR" xfId="251"/>
    <cellStyle name="_Costal lines_work progress sheet" xfId="252"/>
    <cellStyle name="_Costal lines_work progress sheet_JGY BM Cross FDR" xfId="253"/>
    <cellStyle name="_COSTAL LINES_Zone-summary" xfId="254"/>
    <cellStyle name="_COSTAL LINES_Zone-summary_JGY BM Cross FDR" xfId="255"/>
    <cellStyle name="_costal progress 1.2.08" xfId="256"/>
    <cellStyle name="_costal progress 1.2.08_JGY BM Cross FDR" xfId="257"/>
    <cellStyle name="_DEESA 5 PF JAN-08" xfId="258"/>
    <cellStyle name="_DEESA 5 PF JAN-08_JGY BM Cross FDR" xfId="259"/>
    <cellStyle name="_DGVCL" xfId="260"/>
    <cellStyle name="_DGVCL_cum-JUL09" xfId="261"/>
    <cellStyle name="_DGVCL_cum-JUN09" xfId="262"/>
    <cellStyle name="_DGVCL_cum-NOV09" xfId="263"/>
    <cellStyle name="_DGVCL_cum-OCT09" xfId="264"/>
    <cellStyle name="_DGVCL_cum-SEP09" xfId="265"/>
    <cellStyle name="_DGVCL_Format mat req 08-09" xfId="266"/>
    <cellStyle name="_DGVCL_LOSS DATA NOV-09" xfId="267"/>
    <cellStyle name="_DGVCL_loss projection" xfId="268"/>
    <cellStyle name="_DGVCL_se conf tnd compr" xfId="269"/>
    <cellStyle name="_Div wise Coastal" xfId="270"/>
    <cellStyle name="_EBC Format Nadiad" xfId="271"/>
    <cellStyle name="_EBC Format Nadiad_AMR" xfId="272"/>
    <cellStyle name="_EBC Format Nadiad_cum-JUL09" xfId="273"/>
    <cellStyle name="_EBC Format Nadiad_cum-JUN09" xfId="274"/>
    <cellStyle name="_EBC Format Nadiad_cum-NOV09" xfId="275"/>
    <cellStyle name="_EBC Format Nadiad_cum-OCT09" xfId="276"/>
    <cellStyle name="_EBC Format Nadiad_cum-SEP09" xfId="277"/>
    <cellStyle name="_EBC Format Nadiad_LOSS DATA NOV-09" xfId="278"/>
    <cellStyle name="_EBC Format Nadiad_loss projection" xfId="279"/>
    <cellStyle name="_EBC Format Nadiad_se conf tnd compr" xfId="280"/>
    <cellStyle name="_EBC Format Nadiad_T&amp;D April--09" xfId="281"/>
    <cellStyle name="_EBC Format Nov05" xfId="282"/>
    <cellStyle name="_EBC Format Nov05_Accd MOSE 04.08.09" xfId="283"/>
    <cellStyle name="_EBC Format Nov05_ag wkly" xfId="284"/>
    <cellStyle name="_EBC Format Nov05_categorywise comp" xfId="285"/>
    <cellStyle name="_EBC Format Nov05_cum-JUL09" xfId="286"/>
    <cellStyle name="_EBC Format Nov05_cum-JUN09" xfId="287"/>
    <cellStyle name="_EBC Format Nov05_cum-NOV09" xfId="288"/>
    <cellStyle name="_EBC Format Nov05_cum-OCT09" xfId="289"/>
    <cellStyle name="_EBC Format Nov05_cum-SEP09" xfId="290"/>
    <cellStyle name="_EBC Format Nov05_Format mat req 08-09" xfId="291"/>
    <cellStyle name="_EBC Format Nov05_JGY BM Cross FDR" xfId="292"/>
    <cellStyle name="_EBC Format Nov05_JGY loss comp ph-1-2-3 jul-09" xfId="293"/>
    <cellStyle name="_EBC Format Nov05_loss comparision jul-09" xfId="294"/>
    <cellStyle name="_EBC Format Nov05_LOSS DATA NOV-09" xfId="295"/>
    <cellStyle name="_EBC Format Nov05_loss projection" xfId="296"/>
    <cellStyle name="_EBC Format Nov05_meeting   16.09.09" xfId="297"/>
    <cellStyle name="_EBC Format Nov05_mose part 1   (point 1-10)" xfId="298"/>
    <cellStyle name="_EBC Format Nov05_mose point-3 JGY" xfId="299"/>
    <cellStyle name="_EBC Format Nov05_mose point-3 JGY jun-09" xfId="300"/>
    <cellStyle name="_EBC Format Nov05_Point 8. Material Requirement" xfId="301"/>
    <cellStyle name="_EBC Format Nov05_point 9. Price Variation" xfId="302"/>
    <cellStyle name="_EBC Format Nov05_SE Conf 30-07  part-1 main" xfId="303"/>
    <cellStyle name="_EBC Format Nov05_se conf tnd compr" xfId="304"/>
    <cellStyle name="_EBC Format Nov05_seconf 27.08.09" xfId="305"/>
    <cellStyle name="_EBC Format Nov05_Soft Copy of Tech-2" xfId="306"/>
    <cellStyle name="_EBC Format(interface) nadiad dt.28-12-04" xfId="307"/>
    <cellStyle name="_EBC Format(interface) nadiad dt.28-12-04_AMR" xfId="308"/>
    <cellStyle name="_EBC Format(interface) nadiad dt.28-12-04_cum-JUL09" xfId="309"/>
    <cellStyle name="_EBC Format(interface) nadiad dt.28-12-04_cum-JUN09" xfId="310"/>
    <cellStyle name="_EBC Format(interface) nadiad dt.28-12-04_cum-NOV09" xfId="311"/>
    <cellStyle name="_EBC Format(interface) nadiad dt.28-12-04_cum-OCT09" xfId="312"/>
    <cellStyle name="_EBC Format(interface) nadiad dt.28-12-04_cum-SEP09" xfId="313"/>
    <cellStyle name="_EBC Format(interface) nadiad dt.28-12-04_LOSS DATA NOV-09" xfId="314"/>
    <cellStyle name="_EBC Format(interface) nadiad dt.28-12-04_loss projection" xfId="315"/>
    <cellStyle name="_EBC Format(interface) nadiad dt.28-12-04_se conf tnd compr" xfId="316"/>
    <cellStyle name="_EBC Format(interface) nadiad dt.28-12-04_T&amp;D April--09" xfId="317"/>
    <cellStyle name="_EC - Zone with reason" xfId="318"/>
    <cellStyle name="_EC - Zone with reason_JGY BM Cross FDR" xfId="319"/>
    <cellStyle name="_E-URJA DETAILS - AS ON 6.2.08" xfId="320"/>
    <cellStyle name="_E-URJA DETAILS - AS ON 6.2.08_% avalability" xfId="321"/>
    <cellStyle name="_E-URJA DETAILS - AS ON 6.2.08_% avalability_Activity since Feb-2008" xfId="322"/>
    <cellStyle name="_E-URJA DETAILS - AS ON 6.2.08_% avalability_Activity since Feb-2008_JGY BM Cross FDR" xfId="323"/>
    <cellStyle name="_E-URJA DETAILS - AS ON 6.2.08_% avalability_Book1" xfId="324"/>
    <cellStyle name="_E-URJA DETAILS - AS ON 6.2.08_% avalability_Book1_1" xfId="325"/>
    <cellStyle name="_E-URJA DETAILS - AS ON 6.2.08_% avalability_Book1_Book1" xfId="326"/>
    <cellStyle name="_E-URJA DETAILS - AS ON 6.2.08_% avalability_Book1_Copy of Zone- Formate for meeting 15.7.08" xfId="327"/>
    <cellStyle name="_E-URJA DETAILS - AS ON 6.2.08_% avalability_Book1_Copy of Zone- Formate for meeting 30.8.08" xfId="328"/>
    <cellStyle name="_E-URJA DETAILS - AS ON 6.2.08_% avalability_Book1_Copy of Zone- Formate for meeting 30.9.08" xfId="329"/>
    <cellStyle name="_E-URJA DETAILS - AS ON 6.2.08_% avalability_Book1_MD Visit - 10.9.08" xfId="330"/>
    <cellStyle name="_E-URJA DETAILS - AS ON 6.2.08_% avalability_Book1_Project Meeting-8.7.08" xfId="331"/>
    <cellStyle name="_E-URJA DETAILS - AS ON 6.2.08_% avalability_Book3" xfId="332"/>
    <cellStyle name="_E-URJA DETAILS - AS ON 6.2.08_% avalability_Book3_Book1" xfId="333"/>
    <cellStyle name="_E-URJA DETAILS - AS ON 6.2.08_% avalability_Book3_Copy of Zone- Formate for meeting 15.7.08" xfId="334"/>
    <cellStyle name="_E-URJA DETAILS - AS ON 6.2.08_% avalability_Book3_Copy of Zone- Formate for meeting 30.8.08" xfId="335"/>
    <cellStyle name="_E-URJA DETAILS - AS ON 6.2.08_% avalability_Book3_Copy of Zone- Formate for meeting 30.9.08" xfId="336"/>
    <cellStyle name="_E-URJA DETAILS - AS ON 6.2.08_% avalability_Book3_MD Visit - 10.9.08" xfId="337"/>
    <cellStyle name="_E-URJA DETAILS - AS ON 6.2.08_% avalability_Book3_Project Meeting-8.7.08" xfId="338"/>
    <cellStyle name="_E-URJA DETAILS - AS ON 6.2.08_% avalability_Copy of Zone- Formate for meeting 15.7.08" xfId="339"/>
    <cellStyle name="_E-URJA DETAILS - AS ON 6.2.08_% avalability_Copy of Zone- Formate for meeting 30.8.08" xfId="340"/>
    <cellStyle name="_E-URJA DETAILS - AS ON 6.2.08_% avalability_Copy of Zone- Formate for meeting 30.9.08" xfId="341"/>
    <cellStyle name="_E-URJA DETAILS - AS ON 6.2.08_% avalability_MD Visit - 10.9.08" xfId="342"/>
    <cellStyle name="_E-URJA DETAILS - AS ON 6.2.08_% avalability_Project Meeting-8.7.08" xfId="343"/>
    <cellStyle name="_E-URJA DETAILS - AS ON 6.2.08_Activity since Feb-2008" xfId="344"/>
    <cellStyle name="_E-URJA DETAILS - AS ON 6.2.08_Activity since Feb-2008_JGY BM Cross FDR" xfId="345"/>
    <cellStyle name="_E-URJA DETAILS - AS ON 6.2.08_Monthly progress of ss &amp; line Jun-08" xfId="346"/>
    <cellStyle name="_E-URJA DETAILS - AS ON 6.2.08_Monthly progress of ss &amp; line Jun-08_JGY BM Cross FDR" xfId="347"/>
    <cellStyle name="_E-URJA DETAILS - AS ON 6.2.08_Progress on going work" xfId="348"/>
    <cellStyle name="_E-URJA DETAILS - AS ON 6.2.08_Progress on going work_Activity since Feb-2008" xfId="349"/>
    <cellStyle name="_E-URJA DETAILS - AS ON 6.2.08_Progress on going work_Activity since Feb-2008_JGY BM Cross FDR" xfId="350"/>
    <cellStyle name="_E-URJA DETAILS - AS ON 6.2.08_Progress on going work_Monthly progress of ss &amp; line Jun-08" xfId="351"/>
    <cellStyle name="_E-URJA DETAILS - AS ON 6.2.08_Progress on going work_Monthly progress of ss &amp; line Jun-08_JGY BM Cross FDR" xfId="352"/>
    <cellStyle name="_E-URJA DETAILS - AS ON 6.2.08_Progress on going work_Zone- Formate for meeting 14.6.08" xfId="353"/>
    <cellStyle name="_E-URJA DETAILS - AS ON 6.2.08_Progress on going work_Zone- Formate for meeting 14.6.08_JGY BM Cross FDR" xfId="354"/>
    <cellStyle name="_E-URJA DETAILS - AS ON 6.2.08_Zone- Formate for meeting 14.6.08" xfId="355"/>
    <cellStyle name="_E-URJA DETAILS - AS ON 6.2.08_Zone- Formate for meeting 14.6.08_JGY BM Cross FDR" xfId="356"/>
    <cellStyle name="_Failure of Jumper" xfId="357"/>
    <cellStyle name="_Failure of Jumper_JGY BM Cross FDR" xfId="358"/>
    <cellStyle name="_Feb.-07" xfId="359"/>
    <cellStyle name="_Feb.-07_JGY BM Cross FDR" xfId="360"/>
    <cellStyle name="_Final PGVCL Annexure-A" xfId="361"/>
    <cellStyle name="_Final PGVCL Annexure-A_JGY BM Cross FDR" xfId="362"/>
    <cellStyle name="_formate for line inspection by EE" xfId="363"/>
    <cellStyle name="_formate for line inspection by EE_JGY BM Cross FDR" xfId="364"/>
    <cellStyle name="_GDL" xfId="365"/>
    <cellStyle name="_GDL_Gondal(REC)-after S'nagar" xfId="366"/>
    <cellStyle name="_GDL_JGY BM Cross FDR" xfId="367"/>
    <cellStyle name="_Gen.Details" xfId="368"/>
    <cellStyle name="_Gen.Details_cum-JUL09" xfId="369"/>
    <cellStyle name="_Gen.Details_cum-JUN09" xfId="370"/>
    <cellStyle name="_Gen.Details_cum-NOV09" xfId="371"/>
    <cellStyle name="_Gen.Details_cum-OCT09" xfId="372"/>
    <cellStyle name="_Gen.Details_cum-SEP09" xfId="373"/>
    <cellStyle name="_Gen.Details_Format mat req 08-09" xfId="374"/>
    <cellStyle name="_Gen.Details_LOSS DATA NOV-09" xfId="375"/>
    <cellStyle name="_Gen.Details_loss projection" xfId="376"/>
    <cellStyle name="_Gen.Details_se conf tnd compr" xfId="377"/>
    <cellStyle name="_GencoMonthlyImport " xfId="378"/>
    <cellStyle name="_GencoMonthlyImport _AMR" xfId="379"/>
    <cellStyle name="_GencoMonthlyImport _cum-JUL09" xfId="380"/>
    <cellStyle name="_GencoMonthlyImport _cum-JUN09" xfId="381"/>
    <cellStyle name="_GencoMonthlyImport _cum-NOV09" xfId="382"/>
    <cellStyle name="_GencoMonthlyImport _cum-OCT09" xfId="383"/>
    <cellStyle name="_GencoMonthlyImport _cum-SEP09" xfId="384"/>
    <cellStyle name="_GencoMonthlyImport _LOSS DATA NOV-09" xfId="385"/>
    <cellStyle name="_GencoMonthlyImport _loss projection" xfId="386"/>
    <cellStyle name="_GencoMonthlyImport _se conf tnd compr" xfId="387"/>
    <cellStyle name="_GencoMonthlyImport _T&amp;D April--09" xfId="388"/>
    <cellStyle name="_Gondal" xfId="389"/>
    <cellStyle name="_Gondal progrss report 12.5.08" xfId="390"/>
    <cellStyle name="_Gondal progrss report 12.5.08_JGY BM Cross FDR" xfId="391"/>
    <cellStyle name="_Gondal TR Circle MAY-04" xfId="392"/>
    <cellStyle name="_Gondal TR Circle MAY-04_8.2 and 8.1" xfId="393"/>
    <cellStyle name="_Gondal TR Circle MAY-04_Activity since Feb-2008" xfId="394"/>
    <cellStyle name="_Gondal TR Circle MAY-04_Activity since Feb-2008_JGY BM Cross FDR" xfId="395"/>
    <cellStyle name="_Gondal TR Circle MAY-04_AMR" xfId="396"/>
    <cellStyle name="_Gondal TR Circle MAY-04_augmentation 2007-08" xfId="397"/>
    <cellStyle name="_Gondal TR Circle MAY-04_Augmentation 2008-09" xfId="398"/>
    <cellStyle name="_Gondal TR Circle MAY-04_Book1" xfId="399"/>
    <cellStyle name="_Gondal TR Circle MAY-04_Breaker timing test" xfId="400"/>
    <cellStyle name="_Gondal TR Circle MAY-04_Breaker timing test_JGY BM Cross FDR" xfId="401"/>
    <cellStyle name="_Gondal TR Circle MAY-04_CIRCLE FINAL R&amp;M SUMMARY (Brh, Meh, GDLZone)" xfId="402"/>
    <cellStyle name="_Gondal TR Circle MAY-04_Copy of Zone- Formate for meeting 15.7.08" xfId="403"/>
    <cellStyle name="_Gondal TR Circle MAY-04_Copy of Zone- Formate for meeting 30.8.08" xfId="404"/>
    <cellStyle name="_Gondal TR Circle MAY-04_Copy of Zone- Formate for meeting 30.9.08" xfId="405"/>
    <cellStyle name="_Gondal TR Circle MAY-04_cum-JUL09" xfId="406"/>
    <cellStyle name="_Gondal TR Circle MAY-04_cum-JUN09" xfId="407"/>
    <cellStyle name="_Gondal TR Circle MAY-04_cum-NOV09" xfId="408"/>
    <cellStyle name="_Gondal TR Circle MAY-04_cum-OCT09" xfId="409"/>
    <cellStyle name="_Gondal TR Circle MAY-04_cum-SEP09" xfId="410"/>
    <cellStyle name="_Gondal TR Circle MAY-04_Gondal(REC)-after S'nagar" xfId="411"/>
    <cellStyle name="_Gondal TR Circle MAY-04_LOSS DATA NOV-09" xfId="412"/>
    <cellStyle name="_Gondal TR Circle MAY-04_loss projection" xfId="413"/>
    <cellStyle name="_Gondal TR Circle MAY-04_MD Visit - 10.9.08" xfId="414"/>
    <cellStyle name="_Gondal TR Circle MAY-04_Project Meeting-8.7.08" xfId="415"/>
    <cellStyle name="_Gondal TR Circle MAY-04_REC-2008-09(Asha)" xfId="416"/>
    <cellStyle name="_Gondal TR Circle MAY-04_se conf tnd compr" xfId="417"/>
    <cellStyle name="_Gondal TR Circle MAY-04_T&amp;D April--09" xfId="418"/>
    <cellStyle name="_Gondal zone" xfId="419"/>
    <cellStyle name="_Gondal Zone Data" xfId="420"/>
    <cellStyle name="_Gondal Zone Data_JGY BM Cross FDR" xfId="421"/>
    <cellStyle name="_GONDAL ZONE_1" xfId="422"/>
    <cellStyle name="_GONDAL ZONE_1_JGY BM Cross FDR" xfId="423"/>
    <cellStyle name="_Gondal zone_Activity since Feb-2008" xfId="424"/>
    <cellStyle name="_Gondal zone_Activity since Feb-2008_JGY BM Cross FDR" xfId="425"/>
    <cellStyle name="_Gondal zone_Gondal Zone Dtd.23.6.08" xfId="426"/>
    <cellStyle name="_Gondal zone_Gondal Zone Dtd.23.6.08_JGY BM Cross FDR" xfId="427"/>
    <cellStyle name="_Gondal zone_lines coverd in R &amp; M for 2007-08 and 2008-09" xfId="428"/>
    <cellStyle name="_Gondal zone_lines coverd in R &amp; M for 2007-08 and 2008-09_JGY BM Cross FDR" xfId="429"/>
    <cellStyle name="_Gondal zone_Monthly progress of ss &amp; line Jun-08" xfId="430"/>
    <cellStyle name="_Gondal zone_Monthly progress of ss &amp; line Jun-08_JGY BM Cross FDR" xfId="431"/>
    <cellStyle name="_Gondal zone_progress" xfId="432"/>
    <cellStyle name="_Gondal zone_progress_Activity since Feb-2008" xfId="433"/>
    <cellStyle name="_Gondal zone_progress_Activity since Feb-2008_JGY BM Cross FDR" xfId="434"/>
    <cellStyle name="_Gondal zone_progress_Book1" xfId="435"/>
    <cellStyle name="_Gondal zone_progress_Copy of Zone- Formate for meeting 15.7.08" xfId="436"/>
    <cellStyle name="_Gondal zone_progress_Copy of Zone- Formate for meeting 30.8.08" xfId="437"/>
    <cellStyle name="_Gondal zone_progress_Copy of Zone- Formate for meeting 30.9.08" xfId="438"/>
    <cellStyle name="_Gondal zone_progress_MD Visit - 10.9.08" xfId="439"/>
    <cellStyle name="_Gondal zone_progress_Project Meeting-8.7.08" xfId="440"/>
    <cellStyle name="_Gondal zone_Zonal Gondal-R&amp;M MIS Jan(1).-08" xfId="441"/>
    <cellStyle name="_Gondal zone_Zonal Gondal-R&amp;M MIS Jan(1).-08_Activity since Feb-2008" xfId="442"/>
    <cellStyle name="_Gondal zone_Zonal Gondal-R&amp;M MIS Jan(1).-08_Activity since Feb-2008_JGY BM Cross FDR" xfId="443"/>
    <cellStyle name="_Gondal zone_Zonal Gondal-R&amp;M MIS Jan(1).-08_Book1" xfId="444"/>
    <cellStyle name="_Gondal zone_Zonal Gondal-R&amp;M MIS Jan(1).-08_Copy of Zone- Formate for meeting 15.7.08" xfId="445"/>
    <cellStyle name="_Gondal zone_Zonal Gondal-R&amp;M MIS Jan(1).-08_Copy of Zone- Formate for meeting 30.8.08" xfId="446"/>
    <cellStyle name="_Gondal zone_Zonal Gondal-R&amp;M MIS Jan(1).-08_Copy of Zone- Formate for meeting 30.9.08" xfId="447"/>
    <cellStyle name="_Gondal zone_Zonal Gondal-R&amp;M MIS Jan(1).-08_MD Visit - 10.9.08" xfId="448"/>
    <cellStyle name="_Gondal zone_Zonal Gondal-R&amp;M MIS Jan(1).-08_Project Meeting-8.7.08" xfId="449"/>
    <cellStyle name="_Gondal zone_Zone- Formate for meeting 14.6.08" xfId="450"/>
    <cellStyle name="_Gondal zone_Zone- Formate for meeting 14.6.08_JGY BM Cross FDR" xfId="451"/>
    <cellStyle name="_Gondal zone_Zone-summary" xfId="452"/>
    <cellStyle name="_Gondal zone_Zone-summary_JGY BM Cross FDR" xfId="453"/>
    <cellStyle name="_Gondal_1" xfId="454"/>
    <cellStyle name="_Gondal_1_JGY BM Cross FDR" xfId="455"/>
    <cellStyle name="_Gondal_8.2 and 8.1" xfId="456"/>
    <cellStyle name="_Gondal_8.2 and 8.1_JGY BM Cross FDR" xfId="457"/>
    <cellStyle name="_Gondal_Activity since Feb-2008" xfId="458"/>
    <cellStyle name="_Gondal_Activity since Feb-2008_JGY BM Cross FDR" xfId="459"/>
    <cellStyle name="_Gondal_ANNEXURE-PERFORMANCE" xfId="460"/>
    <cellStyle name="_Gondal_ANNEXURE-PERFORMANCE_Activity since Feb-2008" xfId="461"/>
    <cellStyle name="_Gondal_ANNEXURE-PERFORMANCE_Activity since Feb-2008_JGY BM Cross FDR" xfId="462"/>
    <cellStyle name="_Gondal_augmentation 2007-08" xfId="463"/>
    <cellStyle name="_Gondal_augmentation 2007-08_JGY BM Cross FDR" xfId="464"/>
    <cellStyle name="_Gondal_Augmentation 2008-09" xfId="465"/>
    <cellStyle name="_Gondal_Augmentation 2008-09_JGY BM Cross FDR" xfId="466"/>
    <cellStyle name="_Gondal_Book1" xfId="467"/>
    <cellStyle name="_Gondal_Book3" xfId="468"/>
    <cellStyle name="_Gondal_CIRCLE FINAL R&amp;M SUMMARY (Brh, Meh, GDLZone)" xfId="469"/>
    <cellStyle name="_Gondal_cum-JUL09" xfId="470"/>
    <cellStyle name="_Gondal_cum-JUN09" xfId="471"/>
    <cellStyle name="_Gondal_cum-NOV09" xfId="472"/>
    <cellStyle name="_Gondal_cum-OCT09" xfId="473"/>
    <cellStyle name="_Gondal_cum-SEP09" xfId="474"/>
    <cellStyle name="_Gondal_Format mat req 08-09" xfId="475"/>
    <cellStyle name="_Gondal_Gondal(REC)-after S'nagar" xfId="476"/>
    <cellStyle name="_Gondal_LOSS DATA NOV-09" xfId="477"/>
    <cellStyle name="_Gondal_loss projection" xfId="478"/>
    <cellStyle name="_Gondal_REC-2008-09(Asha)" xfId="479"/>
    <cellStyle name="_Gondal_REC-2008-09(Asha)_JGY BM Cross FDR" xfId="480"/>
    <cellStyle name="_Gondal_se conf tnd compr" xfId="481"/>
    <cellStyle name="_high value of LA" xfId="482"/>
    <cellStyle name="_high value of LA_JGY BM Cross FDR" xfId="483"/>
    <cellStyle name="_Jambuva circle" xfId="484"/>
    <cellStyle name="_Jambuva circle_JGY BM Cross FDR" xfId="485"/>
    <cellStyle name="_JMB" xfId="486"/>
    <cellStyle name="_JMB_Gondal(REC)-after S'nagar" xfId="487"/>
    <cellStyle name="_JMB_JGY BM Cross FDR" xfId="488"/>
    <cellStyle name="_JND" xfId="489"/>
    <cellStyle name="_JND_Gondal(REC)-after S'nagar" xfId="490"/>
    <cellStyle name="_JND_JGY BM Cross FDR" xfId="491"/>
    <cellStyle name="_Junagadh" xfId="492"/>
    <cellStyle name="_Junagadh_JGY BM Cross FDR" xfId="493"/>
    <cellStyle name="_lINE SHIFTING DETAIL GONDAL ZONE" xfId="494"/>
    <cellStyle name="_lINE SHIFTING DETAIL GONDAL ZONE_JGY BM Cross FDR" xfId="495"/>
    <cellStyle name="_Material requirement 2008-09" xfId="496"/>
    <cellStyle name="_MD Meeting 4.11.06" xfId="497"/>
    <cellStyle name="_MD Meeting 4.11.06_JGY BM Cross FDR" xfId="498"/>
    <cellStyle name="_MD REPORT-DEC07-DHARMESH" xfId="499"/>
    <cellStyle name="_MD REPORT-DEC07-DHARMESH_JGY BM Cross FDR" xfId="500"/>
    <cellStyle name="_MD REPORT-JAN-08-DHARMESH" xfId="501"/>
    <cellStyle name="_MD REPORT-JAN-08-DHARMESH_JGY BM Cross FDR" xfId="502"/>
    <cellStyle name="_MGVCL" xfId="503"/>
    <cellStyle name="_MGVCL_cum-JUL09" xfId="504"/>
    <cellStyle name="_MGVCL_cum-JUN09" xfId="505"/>
    <cellStyle name="_MGVCL_cum-NOV09" xfId="506"/>
    <cellStyle name="_MGVCL_cum-OCT09" xfId="507"/>
    <cellStyle name="_MGVCL_cum-SEP09" xfId="508"/>
    <cellStyle name="_MGVCL_Format mat req 08-09" xfId="509"/>
    <cellStyle name="_MGVCL_LOSS DATA NOV-09" xfId="510"/>
    <cellStyle name="_MGVCL_loss projection" xfId="511"/>
    <cellStyle name="_MGVCL_se conf tnd compr" xfId="512"/>
    <cellStyle name="_Nadiad New EBC fomat 23.2.05" xfId="513"/>
    <cellStyle name="_Nadiad New EBC fomat 23.2.05_AMR" xfId="514"/>
    <cellStyle name="_Nadiad New EBC fomat 23.2.05_cum-JUL09" xfId="515"/>
    <cellStyle name="_Nadiad New EBC fomat 23.2.05_cum-JUN09" xfId="516"/>
    <cellStyle name="_Nadiad New EBC fomat 23.2.05_cum-NOV09" xfId="517"/>
    <cellStyle name="_Nadiad New EBC fomat 23.2.05_cum-OCT09" xfId="518"/>
    <cellStyle name="_Nadiad New EBC fomat 23.2.05_cum-SEP09" xfId="519"/>
    <cellStyle name="_Nadiad New EBC fomat 23.2.05_LOSS DATA NOV-09" xfId="520"/>
    <cellStyle name="_Nadiad New EBC fomat 23.2.05_loss projection" xfId="521"/>
    <cellStyle name="_Nadiad New EBC fomat 23.2.05_se conf tnd compr" xfId="522"/>
    <cellStyle name="_Nadiad New EBC fomat 23.2.05_T&amp;D April--09" xfId="523"/>
    <cellStyle name="_Nadiad New EBC Format April-05" xfId="524"/>
    <cellStyle name="_Nadiad New EBC Format April-05_AMR" xfId="525"/>
    <cellStyle name="_Nadiad New EBC Format April-05_cum-JUL09" xfId="526"/>
    <cellStyle name="_Nadiad New EBC Format April-05_cum-JUN09" xfId="527"/>
    <cellStyle name="_Nadiad New EBC Format April-05_cum-NOV09" xfId="528"/>
    <cellStyle name="_Nadiad New EBC Format April-05_cum-OCT09" xfId="529"/>
    <cellStyle name="_Nadiad New EBC Format April-05_cum-SEP09" xfId="530"/>
    <cellStyle name="_Nadiad New EBC Format April-05_LOSS DATA NOV-09" xfId="531"/>
    <cellStyle name="_Nadiad New EBC Format April-05_loss projection" xfId="532"/>
    <cellStyle name="_Nadiad New EBC Format April-05_se conf tnd compr" xfId="533"/>
    <cellStyle name="_Nadiad New EBC Format April-05_T&amp;D April--09" xfId="534"/>
    <cellStyle name="_New EBC Format 28.3.05" xfId="535"/>
    <cellStyle name="_New EBC Format 28.3.05_AMR" xfId="536"/>
    <cellStyle name="_New EBC Format 28.3.05_cum-JUL09" xfId="537"/>
    <cellStyle name="_New EBC Format 28.3.05_cum-JUN09" xfId="538"/>
    <cellStyle name="_New EBC Format 28.3.05_cum-NOV09" xfId="539"/>
    <cellStyle name="_New EBC Format 28.3.05_cum-OCT09" xfId="540"/>
    <cellStyle name="_New EBC Format 28.3.05_cum-SEP09" xfId="541"/>
    <cellStyle name="_New EBC Format 28.3.05_LOSS DATA NOV-09" xfId="542"/>
    <cellStyle name="_New EBC Format 28.3.05_loss projection" xfId="543"/>
    <cellStyle name="_New EBC Format 28.3.05_se conf tnd compr" xfId="544"/>
    <cellStyle name="_New EBC Format 28.3.05_T&amp;D April--09" xfId="545"/>
    <cellStyle name="_New EBC format for Nadiad (TR)  30.09.04" xfId="546"/>
    <cellStyle name="_New EBC format for Nadiad (TR)  30.09.04_AMR" xfId="547"/>
    <cellStyle name="_New EBC format for Nadiad (TR)  30.09.04_cum-JUL09" xfId="548"/>
    <cellStyle name="_New EBC format for Nadiad (TR)  30.09.04_cum-JUN09" xfId="549"/>
    <cellStyle name="_New EBC format for Nadiad (TR)  30.09.04_cum-NOV09" xfId="550"/>
    <cellStyle name="_New EBC format for Nadiad (TR)  30.09.04_cum-OCT09" xfId="551"/>
    <cellStyle name="_New EBC format for Nadiad (TR)  30.09.04_cum-SEP09" xfId="552"/>
    <cellStyle name="_New EBC format for Nadiad (TR)  30.09.04_LOSS DATA NOV-09" xfId="553"/>
    <cellStyle name="_New EBC format for Nadiad (TR)  30.09.04_loss projection" xfId="554"/>
    <cellStyle name="_New EBC format for Nadiad (TR)  30.09.04_se conf tnd compr" xfId="555"/>
    <cellStyle name="_New EBC format for Nadiad (TR)  30.09.04_T&amp;D April--09" xfId="556"/>
    <cellStyle name="_new Tand d  losses Jan 07" xfId="557"/>
    <cellStyle name="_new Tand d  losses Jan 07_JGY BM Cross FDR" xfId="558"/>
    <cellStyle name="_One to One Progress report Oct.-07" xfId="559"/>
    <cellStyle name="_One to One Progress report Oct.-07_Activity since Feb-2008" xfId="560"/>
    <cellStyle name="_One to One Progress report Oct.-07_Activity since Feb-2008_JGY BM Cross FDR" xfId="561"/>
    <cellStyle name="_One to One Progress report Oct.-07_Book1" xfId="562"/>
    <cellStyle name="_One to One Progress report Oct.-07_Breaker timing test" xfId="563"/>
    <cellStyle name="_One to One Progress report Oct.-07_Breaker timing test_JGY BM Cross FDR" xfId="564"/>
    <cellStyle name="_One to One Progress report Oct.-07_Copy of Zone- Formate for meeting 15.7.08" xfId="565"/>
    <cellStyle name="_One to One Progress report Oct.-07_Copy of Zone- Formate for meeting 30.8.08" xfId="566"/>
    <cellStyle name="_One to One Progress report Oct.-07_Copy of Zone- Formate for meeting 30.9.08" xfId="567"/>
    <cellStyle name="_One to One Progress report Oct.-07_MD Visit - 10.9.08" xfId="568"/>
    <cellStyle name="_One to One Progress report Oct.-07_Project Meeting-8.7.08" xfId="569"/>
    <cellStyle name="_Other Points 01.07.09" xfId="570"/>
    <cellStyle name="_Other Points 20.04.09" xfId="571"/>
    <cellStyle name="_OVERHAULING" xfId="572"/>
    <cellStyle name="_OVERHAULING_JGY BM Cross FDR" xfId="573"/>
    <cellStyle name="_PALANPUR" xfId="574"/>
    <cellStyle name="_PALANPUR_JGY BM Cross FDR" xfId="575"/>
    <cellStyle name="_Performance 26.02.08" xfId="576"/>
    <cellStyle name="_Performance 26.02.08_JGY BM Cross FDR" xfId="577"/>
    <cellStyle name="_PF LESS THAN 0.9 PF PLN TR CO  JAN  08" xfId="578"/>
    <cellStyle name="_PF LESS THAN 0.9 PF PLN TR CO  JAN  08_JGY BM Cross FDR" xfId="579"/>
    <cellStyle name="_PGVCL" xfId="580"/>
    <cellStyle name="_PGVCL- 5-VAL" xfId="581"/>
    <cellStyle name="_PGVCL- 5-VAL_JGY BM Cross FDR" xfId="582"/>
    <cellStyle name="_PGVCL- 7-" xfId="583"/>
    <cellStyle name="_PGVCL_cum-JUL09" xfId="584"/>
    <cellStyle name="_PGVCL_cum-JUN09" xfId="585"/>
    <cellStyle name="_PGVCL_cum-NOV09" xfId="586"/>
    <cellStyle name="_PGVCL_cum-OCT09" xfId="587"/>
    <cellStyle name="_PGVCL_cum-SEP09" xfId="588"/>
    <cellStyle name="_PGVCL_Format mat req 08-09" xfId="589"/>
    <cellStyle name="_PGVCL_JGY BM Cross FDR" xfId="590"/>
    <cellStyle name="_PGVCL_LOSS DATA NOV-09" xfId="591"/>
    <cellStyle name="_PGVCL_loss projection" xfId="592"/>
    <cellStyle name="_PGVCL_Material Requirement9-10" xfId="593"/>
    <cellStyle name="_PGVCL_Material Requirement9-10 (2)" xfId="594"/>
    <cellStyle name="_PGVCL_Other Points 20.04.09" xfId="595"/>
    <cellStyle name="_PGVCL_Point 8. Material Requirement" xfId="596"/>
    <cellStyle name="_PGVCL_point 9. Price Variation" xfId="597"/>
    <cellStyle name="_PGVCL_Revised Coastal Planning 2009_10 20.05.09" xfId="598"/>
    <cellStyle name="_PGVCL_se conf tnd compr" xfId="599"/>
    <cellStyle name="_pgvcl-1" xfId="600"/>
    <cellStyle name="_pgvcl-1_Accident - 2007-08 + 2008-09 -- 15.12.08" xfId="601"/>
    <cellStyle name="_pgvcl-1_Accident S-dn wise up to Nov. 08 for SE's Conference" xfId="602"/>
    <cellStyle name="_pgvcl-1_Book-DMTHL" xfId="603"/>
    <cellStyle name="_pgvcl-1_Comparison" xfId="604"/>
    <cellStyle name="_pgvcl-1_Comp-Temp" xfId="605"/>
    <cellStyle name="_pgvcl-1_Details of Selected Urban Feeder" xfId="606"/>
    <cellStyle name="_pgvcl-1_DHTHL JAN-09" xfId="607"/>
    <cellStyle name="_pgvcl-1_dnthl Feb-09" xfId="608"/>
    <cellStyle name="_pgvcl-1_JGY BM Cross FDR" xfId="609"/>
    <cellStyle name="_pgvcl-1_JGYssss" xfId="610"/>
    <cellStyle name="_pgvcl-1_JMN-7" xfId="611"/>
    <cellStyle name="_pgvcl-1_JMN-7_JGY BM Cross FDR" xfId="612"/>
    <cellStyle name="_pgvcl-1_JMN-77" xfId="613"/>
    <cellStyle name="_pgvcl-1_JMN-77_JGY BM Cross FDR" xfId="614"/>
    <cellStyle name="_pgvcl-1_JND - 5" xfId="615"/>
    <cellStyle name="_pgvcl-1_JND - 5_JGY BM Cross FDR" xfId="616"/>
    <cellStyle name="_pgvcl-1_JND 50" xfId="617"/>
    <cellStyle name="_pgvcl-1_JND 50_JGY BM Cross FDR" xfId="618"/>
    <cellStyle name="_pgvcl-1_NEW MIS Feb - 08" xfId="619"/>
    <cellStyle name="_pgvcl-1_NEW MIS Feb - 08_Book-DMTHL" xfId="620"/>
    <cellStyle name="_pgvcl-1_NEW MIS Feb - 08_Comparison" xfId="621"/>
    <cellStyle name="_pgvcl-1_NEW MIS Feb - 08_Comp-Temp" xfId="622"/>
    <cellStyle name="_pgvcl-1_NEW MIS Feb - 08_Details of Selected Urban Feeder" xfId="623"/>
    <cellStyle name="_pgvcl-1_NEW MIS Feb - 08_DHTHL JAN-09" xfId="624"/>
    <cellStyle name="_pgvcl-1_NEW MIS Feb - 08_dnthl Feb-09" xfId="625"/>
    <cellStyle name="_pgvcl-1_NEW MIS Feb - 08_JGY BM Cross FDR" xfId="626"/>
    <cellStyle name="_pgvcl-1_NEW MIS Feb - 08_JGYssss" xfId="627"/>
    <cellStyle name="_pgvcl-1_NEW MIS Feb - 08_PBR" xfId="628"/>
    <cellStyle name="_pgvcl-1_NEW MIS Feb - 08_PBR CO_DAILY REPORT GIS - 20-01-09" xfId="629"/>
    <cellStyle name="_pgvcl-1_NEW MIS Feb - 08_Point No.-3 T&amp;D _ 06-11-08" xfId="630"/>
    <cellStyle name="_pgvcl-1_NEW MIS Feb - 08_Point no.3_17-10-08" xfId="631"/>
    <cellStyle name="_pgvcl-1_NEW MIS Feb - 08_T&amp;D August-08" xfId="632"/>
    <cellStyle name="_pgvcl-1_NEW MIS Feb - 08_T&amp;D Data 2005-06 Onwards Database master" xfId="633"/>
    <cellStyle name="_pgvcl-1_NEW MIS Feb - 08_T&amp;D Dec-08" xfId="634"/>
    <cellStyle name="_pgvcl-1_NEW MIS Feb - 08_T&amp;D July-08" xfId="635"/>
    <cellStyle name="_pgvcl-1_NEW MIS Feb - 08_URBAN WEEKLY PBR CO" xfId="636"/>
    <cellStyle name="_pgvcl-1_NEW MIS Feb - 08_Weekly Urban PBR CO - 06-03-09 to 12-03-09" xfId="637"/>
    <cellStyle name="_pgvcl-1_NEW MIS Feb - 08_Weekly Urban PBR CO - 20-02-09 to 26-02-09" xfId="638"/>
    <cellStyle name="_pgvcl-1_NEW MIS Feb - 08_Weekly Urban PBR CO - 30-01-09 to 05-02-09" xfId="639"/>
    <cellStyle name="_pgvcl-1_NEW MIS Feb - 08_Weekly Urban PBR CO - 9-1-09 to 15.01.09" xfId="640"/>
    <cellStyle name="_pgvcl-1_NEW MIS Jan - 08" xfId="641"/>
    <cellStyle name="_pgvcl-1_NEW MIS Jan - 08_Book-DMTHL" xfId="642"/>
    <cellStyle name="_pgvcl-1_NEW MIS Jan - 08_Comparison" xfId="643"/>
    <cellStyle name="_pgvcl-1_NEW MIS Jan - 08_Comp-Temp" xfId="644"/>
    <cellStyle name="_pgvcl-1_NEW MIS Jan - 08_Details of Selected Urban Feeder" xfId="645"/>
    <cellStyle name="_pgvcl-1_NEW MIS Jan - 08_DHTHL JAN-09" xfId="646"/>
    <cellStyle name="_pgvcl-1_NEW MIS Jan - 08_dnthl Feb-09" xfId="647"/>
    <cellStyle name="_pgvcl-1_NEW MIS Jan - 08_JGY BM Cross FDR" xfId="648"/>
    <cellStyle name="_pgvcl-1_NEW MIS Jan - 08_JGYssss" xfId="649"/>
    <cellStyle name="_pgvcl-1_NEW MIS Jan - 08_PBR" xfId="650"/>
    <cellStyle name="_pgvcl-1_NEW MIS Jan - 08_PBR CO_DAILY REPORT GIS - 20-01-09" xfId="651"/>
    <cellStyle name="_pgvcl-1_NEW MIS Jan - 08_Point No.-3 T&amp;D _ 06-11-08" xfId="652"/>
    <cellStyle name="_pgvcl-1_NEW MIS Jan - 08_Point no.3_17-10-08" xfId="653"/>
    <cellStyle name="_pgvcl-1_NEW MIS Jan - 08_T&amp;D August-08" xfId="654"/>
    <cellStyle name="_pgvcl-1_NEW MIS Jan - 08_T&amp;D Data 2005-06 Onwards Database master" xfId="655"/>
    <cellStyle name="_pgvcl-1_NEW MIS Jan - 08_T&amp;D Dec-08" xfId="656"/>
    <cellStyle name="_pgvcl-1_NEW MIS Jan - 08_T&amp;D July-08" xfId="657"/>
    <cellStyle name="_pgvcl-1_NEW MIS Jan - 08_URBAN WEEKLY PBR CO" xfId="658"/>
    <cellStyle name="_pgvcl-1_NEW MIS Jan - 08_Weekly Urban PBR CO - 06-03-09 to 12-03-09" xfId="659"/>
    <cellStyle name="_pgvcl-1_NEW MIS Jan - 08_Weekly Urban PBR CO - 20-02-09 to 26-02-09" xfId="660"/>
    <cellStyle name="_pgvcl-1_NEW MIS Jan - 08_Weekly Urban PBR CO - 30-01-09 to 05-02-09" xfId="661"/>
    <cellStyle name="_pgvcl-1_NEW MIS Jan - 08_Weekly Urban PBR CO - 9-1-09 to 15.01.09" xfId="662"/>
    <cellStyle name="_pgvcl-1_NEW MIS Mar - 08" xfId="663"/>
    <cellStyle name="_pgvcl-1_NEW MIS Mar - 08_JGY BM Cross FDR" xfId="664"/>
    <cellStyle name="_pgvcl-1_PBR" xfId="665"/>
    <cellStyle name="_pgvcl-1_PBR CO_DAILY REPORT GIS - 20-01-09" xfId="666"/>
    <cellStyle name="_pgvcl-1_PBR-7" xfId="667"/>
    <cellStyle name="_pgvcl-1_Point No.-3 T&amp;D _ 06-11-08" xfId="668"/>
    <cellStyle name="_pgvcl-1_Point no.3_17-10-08" xfId="669"/>
    <cellStyle name="_pgvcl-1_sept JMN-7" xfId="670"/>
    <cellStyle name="_pgvcl-1_T&amp;D August-08" xfId="671"/>
    <cellStyle name="_pgvcl-1_T&amp;D Data 2005-06 Onwards Database master" xfId="672"/>
    <cellStyle name="_pgvcl-1_T&amp;D Dec-08" xfId="673"/>
    <cellStyle name="_pgvcl-1_T&amp;D July-08" xfId="674"/>
    <cellStyle name="_pgvcl-1_URBAN WEEKLY PBR CO" xfId="675"/>
    <cellStyle name="_pgvcl-1_Weekly Urban PBR CO - 06-03-09 to 12-03-09" xfId="676"/>
    <cellStyle name="_pgvcl-1_Weekly Urban PBR CO - 20-02-09 to 26-02-09" xfId="677"/>
    <cellStyle name="_pgvcl-1_Weekly Urban PBR CO - 30-01-09 to 05-02-09" xfId="678"/>
    <cellStyle name="_pgvcl-1_Weekly Urban PBR CO - 9-1-09 to 15.01.09" xfId="679"/>
    <cellStyle name="_pgvcl-1-1" xfId="680"/>
    <cellStyle name="_pgvcl-1-1_Accident - 2007-08 + 2008-09 -- 15.12.08" xfId="681"/>
    <cellStyle name="_pgvcl-1-1_Accident S-dn wise up to Nov. 08 for SE's Conference" xfId="682"/>
    <cellStyle name="_pgvcl-1-1_Book-DMTHL" xfId="683"/>
    <cellStyle name="_pgvcl-1-1_Comparison" xfId="684"/>
    <cellStyle name="_pgvcl-1-1_Comp-Temp" xfId="685"/>
    <cellStyle name="_pgvcl-1-1_Details of Selected Urban Feeder" xfId="686"/>
    <cellStyle name="_pgvcl-1-1_DHTHL JAN-09" xfId="687"/>
    <cellStyle name="_pgvcl-1-1_dnthl Feb-09" xfId="688"/>
    <cellStyle name="_pgvcl-1-1_JGY BM Cross FDR" xfId="689"/>
    <cellStyle name="_pgvcl-1-1_JGYssss" xfId="690"/>
    <cellStyle name="_pgvcl-1-1_JMN-7" xfId="691"/>
    <cellStyle name="_pgvcl-1-1_JMN-7_JGY BM Cross FDR" xfId="692"/>
    <cellStyle name="_pgvcl-1-1_JMN-77" xfId="693"/>
    <cellStyle name="_pgvcl-1-1_JMN-77_JGY BM Cross FDR" xfId="694"/>
    <cellStyle name="_pgvcl-1-1_JND - 5" xfId="695"/>
    <cellStyle name="_pgvcl-1-1_JND - 5_JGY BM Cross FDR" xfId="696"/>
    <cellStyle name="_pgvcl-1-1_JND 50" xfId="697"/>
    <cellStyle name="_pgvcl-1-1_JND 50_JGY BM Cross FDR" xfId="698"/>
    <cellStyle name="_pgvcl-1-1_NEW MIS Feb - 08" xfId="699"/>
    <cellStyle name="_pgvcl-1-1_NEW MIS Feb - 08_Book-DMTHL" xfId="700"/>
    <cellStyle name="_pgvcl-1-1_NEW MIS Feb - 08_Comparison" xfId="701"/>
    <cellStyle name="_pgvcl-1-1_NEW MIS Feb - 08_Comp-Temp" xfId="702"/>
    <cellStyle name="_pgvcl-1-1_NEW MIS Feb - 08_Details of Selected Urban Feeder" xfId="703"/>
    <cellStyle name="_pgvcl-1-1_NEW MIS Feb - 08_DHTHL JAN-09" xfId="704"/>
    <cellStyle name="_pgvcl-1-1_NEW MIS Feb - 08_dnthl Feb-09" xfId="705"/>
    <cellStyle name="_pgvcl-1-1_NEW MIS Feb - 08_JGY BM Cross FDR" xfId="706"/>
    <cellStyle name="_pgvcl-1-1_NEW MIS Feb - 08_JGYssss" xfId="707"/>
    <cellStyle name="_pgvcl-1-1_NEW MIS Feb - 08_PBR" xfId="708"/>
    <cellStyle name="_pgvcl-1-1_NEW MIS Feb - 08_PBR CO_DAILY REPORT GIS - 20-01-09" xfId="709"/>
    <cellStyle name="_pgvcl-1-1_NEW MIS Feb - 08_Point No.-3 T&amp;D _ 06-11-08" xfId="710"/>
    <cellStyle name="_pgvcl-1-1_NEW MIS Feb - 08_Point no.3_17-10-08" xfId="711"/>
    <cellStyle name="_pgvcl-1-1_NEW MIS Feb - 08_T&amp;D August-08" xfId="712"/>
    <cellStyle name="_pgvcl-1-1_NEW MIS Feb - 08_T&amp;D Data 2005-06 Onwards Database master" xfId="713"/>
    <cellStyle name="_pgvcl-1-1_NEW MIS Feb - 08_T&amp;D Dec-08" xfId="714"/>
    <cellStyle name="_pgvcl-1-1_NEW MIS Feb - 08_T&amp;D July-08" xfId="715"/>
    <cellStyle name="_pgvcl-1-1_NEW MIS Feb - 08_URBAN WEEKLY PBR CO" xfId="716"/>
    <cellStyle name="_pgvcl-1-1_NEW MIS Feb - 08_Weekly Urban PBR CO - 06-03-09 to 12-03-09" xfId="717"/>
    <cellStyle name="_pgvcl-1-1_NEW MIS Feb - 08_Weekly Urban PBR CO - 20-02-09 to 26-02-09" xfId="718"/>
    <cellStyle name="_pgvcl-1-1_NEW MIS Feb - 08_Weekly Urban PBR CO - 30-01-09 to 05-02-09" xfId="719"/>
    <cellStyle name="_pgvcl-1-1_NEW MIS Feb - 08_Weekly Urban PBR CO - 9-1-09 to 15.01.09" xfId="720"/>
    <cellStyle name="_pgvcl-1-1_NEW MIS Jan - 08" xfId="721"/>
    <cellStyle name="_pgvcl-1-1_NEW MIS Jan - 08_Book-DMTHL" xfId="722"/>
    <cellStyle name="_pgvcl-1-1_NEW MIS Jan - 08_Comparison" xfId="723"/>
    <cellStyle name="_pgvcl-1-1_NEW MIS Jan - 08_Comp-Temp" xfId="724"/>
    <cellStyle name="_pgvcl-1-1_NEW MIS Jan - 08_Details of Selected Urban Feeder" xfId="725"/>
    <cellStyle name="_pgvcl-1-1_NEW MIS Jan - 08_DHTHL JAN-09" xfId="726"/>
    <cellStyle name="_pgvcl-1-1_NEW MIS Jan - 08_dnthl Feb-09" xfId="727"/>
    <cellStyle name="_pgvcl-1-1_NEW MIS Jan - 08_JGY BM Cross FDR" xfId="728"/>
    <cellStyle name="_pgvcl-1-1_NEW MIS Jan - 08_JGYssss" xfId="729"/>
    <cellStyle name="_pgvcl-1-1_NEW MIS Jan - 08_PBR" xfId="730"/>
    <cellStyle name="_pgvcl-1-1_NEW MIS Jan - 08_PBR CO_DAILY REPORT GIS - 20-01-09" xfId="731"/>
    <cellStyle name="_pgvcl-1-1_NEW MIS Jan - 08_Point No.-3 T&amp;D _ 06-11-08" xfId="732"/>
    <cellStyle name="_pgvcl-1-1_NEW MIS Jan - 08_Point no.3_17-10-08" xfId="733"/>
    <cellStyle name="_pgvcl-1-1_NEW MIS Jan - 08_T&amp;D August-08" xfId="734"/>
    <cellStyle name="_pgvcl-1-1_NEW MIS Jan - 08_T&amp;D Data 2005-06 Onwards Database master" xfId="735"/>
    <cellStyle name="_pgvcl-1-1_NEW MIS Jan - 08_T&amp;D Dec-08" xfId="736"/>
    <cellStyle name="_pgvcl-1-1_NEW MIS Jan - 08_T&amp;D July-08" xfId="737"/>
    <cellStyle name="_pgvcl-1-1_NEW MIS Jan - 08_URBAN WEEKLY PBR CO" xfId="738"/>
    <cellStyle name="_pgvcl-1-1_NEW MIS Jan - 08_Weekly Urban PBR CO - 06-03-09 to 12-03-09" xfId="739"/>
    <cellStyle name="_pgvcl-1-1_NEW MIS Jan - 08_Weekly Urban PBR CO - 20-02-09 to 26-02-09" xfId="740"/>
    <cellStyle name="_pgvcl-1-1_NEW MIS Jan - 08_Weekly Urban PBR CO - 30-01-09 to 05-02-09" xfId="741"/>
    <cellStyle name="_pgvcl-1-1_NEW MIS Jan - 08_Weekly Urban PBR CO - 9-1-09 to 15.01.09" xfId="742"/>
    <cellStyle name="_pgvcl-1-1_NEW MIS Mar - 08" xfId="743"/>
    <cellStyle name="_pgvcl-1-1_NEW MIS Mar - 08_JGY BM Cross FDR" xfId="744"/>
    <cellStyle name="_pgvcl-1-1_PBR" xfId="745"/>
    <cellStyle name="_pgvcl-1-1_PBR CO_DAILY REPORT GIS - 20-01-09" xfId="746"/>
    <cellStyle name="_pgvcl-1-1_PBR-7" xfId="747"/>
    <cellStyle name="_pgvcl-1-1_Point No.-3 T&amp;D _ 06-11-08" xfId="748"/>
    <cellStyle name="_pgvcl-1-1_Point no.3_17-10-08" xfId="749"/>
    <cellStyle name="_pgvcl-1-1_sept JMN-7" xfId="750"/>
    <cellStyle name="_pgvcl-1-1_T&amp;D August-08" xfId="751"/>
    <cellStyle name="_pgvcl-1-1_T&amp;D Data 2005-06 Onwards Database master" xfId="752"/>
    <cellStyle name="_pgvcl-1-1_T&amp;D Dec-08" xfId="753"/>
    <cellStyle name="_pgvcl-1-1_T&amp;D July-08" xfId="754"/>
    <cellStyle name="_pgvcl-1-1_URBAN WEEKLY PBR CO" xfId="755"/>
    <cellStyle name="_pgvcl-1-1_Weekly Urban PBR CO - 06-03-09 to 12-03-09" xfId="756"/>
    <cellStyle name="_pgvcl-1-1_Weekly Urban PBR CO - 20-02-09 to 26-02-09" xfId="757"/>
    <cellStyle name="_pgvcl-1-1_Weekly Urban PBR CO - 30-01-09 to 05-02-09" xfId="758"/>
    <cellStyle name="_pgvcl-1-1_Weekly Urban PBR CO - 9-1-09 to 15.01.09" xfId="759"/>
    <cellStyle name="_pgvcl-2-2" xfId="760"/>
    <cellStyle name="_pgvcl-2-2_Accident - 2007-08 + 2008-09 -- 15.12.08" xfId="761"/>
    <cellStyle name="_pgvcl-2-2_Accident S-dn wise up to Nov. 08 for SE's Conference" xfId="762"/>
    <cellStyle name="_pgvcl-2-2_Book-DMTHL" xfId="763"/>
    <cellStyle name="_pgvcl-2-2_Comparison" xfId="764"/>
    <cellStyle name="_pgvcl-2-2_Comp-Temp" xfId="765"/>
    <cellStyle name="_pgvcl-2-2_Details of Selected Urban Feeder" xfId="766"/>
    <cellStyle name="_pgvcl-2-2_DHTHL JAN-09" xfId="767"/>
    <cellStyle name="_pgvcl-2-2_dnthl Feb-09" xfId="768"/>
    <cellStyle name="_pgvcl-2-2_JGY BM Cross FDR" xfId="769"/>
    <cellStyle name="_pgvcl-2-2_JGYssss" xfId="770"/>
    <cellStyle name="_pgvcl-2-2_JMN-7" xfId="771"/>
    <cellStyle name="_pgvcl-2-2_JMN-7_JGY BM Cross FDR" xfId="772"/>
    <cellStyle name="_pgvcl-2-2_JMN-77" xfId="773"/>
    <cellStyle name="_pgvcl-2-2_JMN-77_JGY BM Cross FDR" xfId="774"/>
    <cellStyle name="_pgvcl-2-2_JND - 5" xfId="775"/>
    <cellStyle name="_pgvcl-2-2_JND - 5_JGY BM Cross FDR" xfId="776"/>
    <cellStyle name="_pgvcl-2-2_JND 50" xfId="777"/>
    <cellStyle name="_pgvcl-2-2_JND 50_JGY BM Cross FDR" xfId="778"/>
    <cellStyle name="_pgvcl-2-2_NEW MIS Feb - 08" xfId="779"/>
    <cellStyle name="_pgvcl-2-2_NEW MIS Feb - 08_Book-DMTHL" xfId="780"/>
    <cellStyle name="_pgvcl-2-2_NEW MIS Feb - 08_Comparison" xfId="781"/>
    <cellStyle name="_pgvcl-2-2_NEW MIS Feb - 08_Comp-Temp" xfId="782"/>
    <cellStyle name="_pgvcl-2-2_NEW MIS Feb - 08_Details of Selected Urban Feeder" xfId="783"/>
    <cellStyle name="_pgvcl-2-2_NEW MIS Feb - 08_DHTHL JAN-09" xfId="784"/>
    <cellStyle name="_pgvcl-2-2_NEW MIS Feb - 08_dnthl Feb-09" xfId="785"/>
    <cellStyle name="_pgvcl-2-2_NEW MIS Feb - 08_JGY BM Cross FDR" xfId="786"/>
    <cellStyle name="_pgvcl-2-2_NEW MIS Feb - 08_JGYssss" xfId="787"/>
    <cellStyle name="_pgvcl-2-2_NEW MIS Feb - 08_PBR" xfId="788"/>
    <cellStyle name="_pgvcl-2-2_NEW MIS Feb - 08_PBR CO_DAILY REPORT GIS - 20-01-09" xfId="789"/>
    <cellStyle name="_pgvcl-2-2_NEW MIS Feb - 08_Point No.-3 T&amp;D _ 06-11-08" xfId="790"/>
    <cellStyle name="_pgvcl-2-2_NEW MIS Feb - 08_Point no.3_17-10-08" xfId="791"/>
    <cellStyle name="_pgvcl-2-2_NEW MIS Feb - 08_T&amp;D August-08" xfId="792"/>
    <cellStyle name="_pgvcl-2-2_NEW MIS Feb - 08_T&amp;D Data 2005-06 Onwards Database master" xfId="793"/>
    <cellStyle name="_pgvcl-2-2_NEW MIS Feb - 08_T&amp;D Dec-08" xfId="794"/>
    <cellStyle name="_pgvcl-2-2_NEW MIS Feb - 08_T&amp;D July-08" xfId="795"/>
    <cellStyle name="_pgvcl-2-2_NEW MIS Feb - 08_URBAN WEEKLY PBR CO" xfId="796"/>
    <cellStyle name="_pgvcl-2-2_NEW MIS Feb - 08_Weekly Urban PBR CO - 06-03-09 to 12-03-09" xfId="797"/>
    <cellStyle name="_pgvcl-2-2_NEW MIS Feb - 08_Weekly Urban PBR CO - 20-02-09 to 26-02-09" xfId="798"/>
    <cellStyle name="_pgvcl-2-2_NEW MIS Feb - 08_Weekly Urban PBR CO - 30-01-09 to 05-02-09" xfId="799"/>
    <cellStyle name="_pgvcl-2-2_NEW MIS Feb - 08_Weekly Urban PBR CO - 9-1-09 to 15.01.09" xfId="800"/>
    <cellStyle name="_pgvcl-2-2_NEW MIS Jan - 08" xfId="801"/>
    <cellStyle name="_pgvcl-2-2_NEW MIS Jan - 08_Book-DMTHL" xfId="802"/>
    <cellStyle name="_pgvcl-2-2_NEW MIS Jan - 08_Comparison" xfId="803"/>
    <cellStyle name="_pgvcl-2-2_NEW MIS Jan - 08_Comp-Temp" xfId="804"/>
    <cellStyle name="_pgvcl-2-2_NEW MIS Jan - 08_Details of Selected Urban Feeder" xfId="805"/>
    <cellStyle name="_pgvcl-2-2_NEW MIS Jan - 08_DHTHL JAN-09" xfId="806"/>
    <cellStyle name="_pgvcl-2-2_NEW MIS Jan - 08_dnthl Feb-09" xfId="807"/>
    <cellStyle name="_pgvcl-2-2_NEW MIS Jan - 08_JGY BM Cross FDR" xfId="808"/>
    <cellStyle name="_pgvcl-2-2_NEW MIS Jan - 08_JGYssss" xfId="809"/>
    <cellStyle name="_pgvcl-2-2_NEW MIS Jan - 08_PBR" xfId="810"/>
    <cellStyle name="_pgvcl-2-2_NEW MIS Jan - 08_PBR CO_DAILY REPORT GIS - 20-01-09" xfId="811"/>
    <cellStyle name="_pgvcl-2-2_NEW MIS Jan - 08_Point No.-3 T&amp;D _ 06-11-08" xfId="812"/>
    <cellStyle name="_pgvcl-2-2_NEW MIS Jan - 08_Point no.3_17-10-08" xfId="813"/>
    <cellStyle name="_pgvcl-2-2_NEW MIS Jan - 08_T&amp;D August-08" xfId="814"/>
    <cellStyle name="_pgvcl-2-2_NEW MIS Jan - 08_T&amp;D Data 2005-06 Onwards Database master" xfId="815"/>
    <cellStyle name="_pgvcl-2-2_NEW MIS Jan - 08_T&amp;D Dec-08" xfId="816"/>
    <cellStyle name="_pgvcl-2-2_NEW MIS Jan - 08_T&amp;D July-08" xfId="817"/>
    <cellStyle name="_pgvcl-2-2_NEW MIS Jan - 08_URBAN WEEKLY PBR CO" xfId="818"/>
    <cellStyle name="_pgvcl-2-2_NEW MIS Jan - 08_Weekly Urban PBR CO - 06-03-09 to 12-03-09" xfId="819"/>
    <cellStyle name="_pgvcl-2-2_NEW MIS Jan - 08_Weekly Urban PBR CO - 20-02-09 to 26-02-09" xfId="820"/>
    <cellStyle name="_pgvcl-2-2_NEW MIS Jan - 08_Weekly Urban PBR CO - 30-01-09 to 05-02-09" xfId="821"/>
    <cellStyle name="_pgvcl-2-2_NEW MIS Jan - 08_Weekly Urban PBR CO - 9-1-09 to 15.01.09" xfId="822"/>
    <cellStyle name="_pgvcl-2-2_NEW MIS Mar - 08" xfId="823"/>
    <cellStyle name="_pgvcl-2-2_NEW MIS Mar - 08_JGY BM Cross FDR" xfId="824"/>
    <cellStyle name="_pgvcl-2-2_PBR" xfId="825"/>
    <cellStyle name="_pgvcl-2-2_PBR CO_DAILY REPORT GIS - 20-01-09" xfId="826"/>
    <cellStyle name="_pgvcl-2-2_PBR-7" xfId="827"/>
    <cellStyle name="_pgvcl-2-2_Point No.-3 T&amp;D _ 06-11-08" xfId="828"/>
    <cellStyle name="_pgvcl-2-2_Point no.3_17-10-08" xfId="829"/>
    <cellStyle name="_pgvcl-2-2_sept JMN-7" xfId="830"/>
    <cellStyle name="_pgvcl-2-2_T&amp;D August-08" xfId="831"/>
    <cellStyle name="_pgvcl-2-2_T&amp;D Data 2005-06 Onwards Database master" xfId="832"/>
    <cellStyle name="_pgvcl-2-2_T&amp;D Dec-08" xfId="833"/>
    <cellStyle name="_pgvcl-2-2_T&amp;D July-08" xfId="834"/>
    <cellStyle name="_pgvcl-2-2_URBAN WEEKLY PBR CO" xfId="835"/>
    <cellStyle name="_pgvcl-2-2_Weekly Urban PBR CO - 06-03-09 to 12-03-09" xfId="836"/>
    <cellStyle name="_pgvcl-2-2_Weekly Urban PBR CO - 20-02-09 to 26-02-09" xfId="837"/>
    <cellStyle name="_pgvcl-2-2_Weekly Urban PBR CO - 30-01-09 to 05-02-09" xfId="838"/>
    <cellStyle name="_pgvcl-2-2_Weekly Urban PBR CO - 9-1-09 to 15.01.09" xfId="839"/>
    <cellStyle name="_pgvcl-costal" xfId="840"/>
    <cellStyle name="_pgvcl-costal_Accd upto respective Month" xfId="841"/>
    <cellStyle name="_pgvcl-costal_Accd upto respective Month_JGY BM Cross FDR" xfId="842"/>
    <cellStyle name="_pgvcl-costal_Accident - 2007-08 + 2008-09 -- 15.12.08" xfId="843"/>
    <cellStyle name="_pgvcl-costal_Accident S-dn wise up to Nov. 08 for SE's Conference" xfId="844"/>
    <cellStyle name="_pgvcl-costal_Book-DMTHL" xfId="845"/>
    <cellStyle name="_pgvcl-costal_BVN-7" xfId="846"/>
    <cellStyle name="_pgvcl-costal_BVN-7_JGY BM Cross FDR" xfId="847"/>
    <cellStyle name="_pgvcl-costal_Comparison" xfId="848"/>
    <cellStyle name="_pgvcl-costal_Dept Accd Month wise" xfId="849"/>
    <cellStyle name="_pgvcl-costal_Dept Accd Month wise_JGY BM Cross FDR" xfId="850"/>
    <cellStyle name="_pgvcl-costal_Details of Selected Urban Feeder" xfId="851"/>
    <cellStyle name="_pgvcl-costal_DHTHL JAN-09" xfId="852"/>
    <cellStyle name="_pgvcl-costal_Div wise Coastal" xfId="853"/>
    <cellStyle name="_pgvcl-costal_dnthl Feb-09" xfId="854"/>
    <cellStyle name="_pgvcl-costal_JGY BM Cross FDR" xfId="855"/>
    <cellStyle name="_pgvcl-costal_JGYssss" xfId="856"/>
    <cellStyle name="_pgvcl-costal_JMN-7" xfId="857"/>
    <cellStyle name="_pgvcl-costal_JMN-7_JGY BM Cross FDR" xfId="858"/>
    <cellStyle name="_pgvcl-costal_JMN-77" xfId="859"/>
    <cellStyle name="_pgvcl-costal_JMN-77_JGY BM Cross FDR" xfId="860"/>
    <cellStyle name="_pgvcl-costal_JND - 4" xfId="861"/>
    <cellStyle name="_pgvcl-costal_JND - 4_Book-DMTHL" xfId="862"/>
    <cellStyle name="_pgvcl-costal_JND - 4_Comparison" xfId="863"/>
    <cellStyle name="_pgvcl-costal_JND - 4_Details of Selected Urban Feeder" xfId="864"/>
    <cellStyle name="_pgvcl-costal_JND - 4_DHTHL JAN-09" xfId="865"/>
    <cellStyle name="_pgvcl-costal_JND - 4_dnthl Feb-09" xfId="866"/>
    <cellStyle name="_pgvcl-costal_JND - 4_JGY BM Cross FDR" xfId="867"/>
    <cellStyle name="_pgvcl-costal_JND - 4_JGYssss" xfId="868"/>
    <cellStyle name="_pgvcl-costal_JND - 4_PBR" xfId="869"/>
    <cellStyle name="_pgvcl-costal_JND - 4_PBR CO_DAILY REPORT GIS - 20-01-09" xfId="870"/>
    <cellStyle name="_pgvcl-costal_JND - 4_T&amp;D August-08" xfId="871"/>
    <cellStyle name="_pgvcl-costal_JND - 4_T&amp;D Dec-08" xfId="872"/>
    <cellStyle name="_pgvcl-costal_JND - 4_T&amp;D July-08" xfId="873"/>
    <cellStyle name="_pgvcl-costal_JND - 4_URBAN WEEKLY PBR CO" xfId="874"/>
    <cellStyle name="_pgvcl-costal_JND - 4_Weekly Urban PBR CO - 06-03-09 to 12-03-09" xfId="875"/>
    <cellStyle name="_pgvcl-costal_JND - 4_Weekly Urban PBR CO - 20-02-09 to 26-02-09" xfId="876"/>
    <cellStyle name="_pgvcl-costal_JND - 4_Weekly Urban PBR CO - 30-01-09 to 05-02-09" xfId="877"/>
    <cellStyle name="_pgvcl-costal_JND - 4_Weekly Urban PBR CO - 9-1-09 to 15.01.09" xfId="878"/>
    <cellStyle name="_pgvcl-costal_JND - 5" xfId="879"/>
    <cellStyle name="_pgvcl-costal_JND - 5_Book-DMTHL" xfId="880"/>
    <cellStyle name="_pgvcl-costal_JND - 5_Comparison" xfId="881"/>
    <cellStyle name="_pgvcl-costal_JND - 5_Details of Selected Urban Feeder" xfId="882"/>
    <cellStyle name="_pgvcl-costal_JND - 5_DHTHL JAN-09" xfId="883"/>
    <cellStyle name="_pgvcl-costal_JND - 5_dnthl Feb-09" xfId="884"/>
    <cellStyle name="_pgvcl-costal_JND - 5_JGY BM Cross FDR" xfId="885"/>
    <cellStyle name="_pgvcl-costal_JND - 5_JGYssss" xfId="886"/>
    <cellStyle name="_pgvcl-costal_JND - 5_PBR" xfId="887"/>
    <cellStyle name="_pgvcl-costal_JND - 5_PBR CO_DAILY REPORT GIS - 20-01-09" xfId="888"/>
    <cellStyle name="_pgvcl-costal_JND - 5_T&amp;D August-08" xfId="889"/>
    <cellStyle name="_pgvcl-costal_JND - 5_T&amp;D Dec-08" xfId="890"/>
    <cellStyle name="_pgvcl-costal_JND - 5_T&amp;D July-08" xfId="891"/>
    <cellStyle name="_pgvcl-costal_JND - 5_URBAN WEEKLY PBR CO" xfId="892"/>
    <cellStyle name="_pgvcl-costal_JND - 5_Weekly Urban PBR CO - 06-03-09 to 12-03-09" xfId="893"/>
    <cellStyle name="_pgvcl-costal_JND - 5_Weekly Urban PBR CO - 20-02-09 to 26-02-09" xfId="894"/>
    <cellStyle name="_pgvcl-costal_JND - 5_Weekly Urban PBR CO - 30-01-09 to 05-02-09" xfId="895"/>
    <cellStyle name="_pgvcl-costal_JND - 5_Weekly Urban PBR CO - 9-1-09 to 15.01.09" xfId="896"/>
    <cellStyle name="_pgvcl-costal_JND - 7" xfId="897"/>
    <cellStyle name="_pgvcl-costal_JND - 7 T3" xfId="898"/>
    <cellStyle name="_pgvcl-costal_JND - 7_JGY BM Cross FDR" xfId="899"/>
    <cellStyle name="_pgvcl-costal_JND T-3 MIS" xfId="900"/>
    <cellStyle name="_pgvcl-costal_JND-4" xfId="901"/>
    <cellStyle name="_pgvcl-costal_JND-4_Book-DMTHL" xfId="902"/>
    <cellStyle name="_pgvcl-costal_JND-4_Comparison" xfId="903"/>
    <cellStyle name="_pgvcl-costal_JND-4_Details of Selected Urban Feeder" xfId="904"/>
    <cellStyle name="_pgvcl-costal_JND-4_DHTHL JAN-09" xfId="905"/>
    <cellStyle name="_pgvcl-costal_JND-4_dnthl Feb-09" xfId="906"/>
    <cellStyle name="_pgvcl-costal_JND-4_JGY BM Cross FDR" xfId="907"/>
    <cellStyle name="_pgvcl-costal_JND-4_JGYssss" xfId="908"/>
    <cellStyle name="_pgvcl-costal_JND-4_PBR" xfId="909"/>
    <cellStyle name="_pgvcl-costal_JND-4_PBR CO_DAILY REPORT GIS - 20-01-09" xfId="910"/>
    <cellStyle name="_pgvcl-costal_JND-4_T&amp;D August-08" xfId="911"/>
    <cellStyle name="_pgvcl-costal_JND-4_T&amp;D Dec-08" xfId="912"/>
    <cellStyle name="_pgvcl-costal_JND-4_T&amp;D July-08" xfId="913"/>
    <cellStyle name="_pgvcl-costal_JND-4_URBAN WEEKLY PBR CO" xfId="914"/>
    <cellStyle name="_pgvcl-costal_JND-4_Weekly Urban PBR CO - 06-03-09 to 12-03-09" xfId="915"/>
    <cellStyle name="_pgvcl-costal_JND-4_Weekly Urban PBR CO - 20-02-09 to 26-02-09" xfId="916"/>
    <cellStyle name="_pgvcl-costal_JND-4_Weekly Urban PBR CO - 30-01-09 to 05-02-09" xfId="917"/>
    <cellStyle name="_pgvcl-costal_JND-4_Weekly Urban PBR CO - 9-1-09 to 15.01.09" xfId="918"/>
    <cellStyle name="_pgvcl-costal_JND-5" xfId="919"/>
    <cellStyle name="_pgvcl-costal_JND-5 July-07" xfId="920"/>
    <cellStyle name="_pgvcl-costal_JND-5 July-07_Accident - 2007-08 + 2008-09 -- 15.12.08" xfId="921"/>
    <cellStyle name="_pgvcl-costal_JND-5 July-07_Accident S-dn wise up to Nov. 08 for SE's Conference" xfId="922"/>
    <cellStyle name="_pgvcl-costal_JND-5 July-07_Book-DMTHL" xfId="923"/>
    <cellStyle name="_pgvcl-costal_JND-5 July-07_Comparison" xfId="924"/>
    <cellStyle name="_pgvcl-costal_JND-5 July-07_Details of Selected Urban Feeder" xfId="925"/>
    <cellStyle name="_pgvcl-costal_JND-5 July-07_DHTHL JAN-09" xfId="926"/>
    <cellStyle name="_pgvcl-costal_JND-5 July-07_dnthl Feb-09" xfId="927"/>
    <cellStyle name="_pgvcl-costal_JND-5 July-07_JGY BM Cross FDR" xfId="928"/>
    <cellStyle name="_pgvcl-costal_JND-5 July-07_JGYssss" xfId="929"/>
    <cellStyle name="_pgvcl-costal_JND-5 July-07_JMN-7" xfId="930"/>
    <cellStyle name="_pgvcl-costal_JND-5 July-07_JMN-7_JGY BM Cross FDR" xfId="931"/>
    <cellStyle name="_pgvcl-costal_JND-5 July-07_JMN-77" xfId="932"/>
    <cellStyle name="_pgvcl-costal_JND-5 July-07_JMN-77_JGY BM Cross FDR" xfId="933"/>
    <cellStyle name="_pgvcl-costal_JND-5 July-07_JND - 7 T3" xfId="934"/>
    <cellStyle name="_pgvcl-costal_JND-5 July-07_JND T-3 MIS" xfId="935"/>
    <cellStyle name="_pgvcl-costal_JND-5 July-07_JND-5 T3" xfId="936"/>
    <cellStyle name="_pgvcl-costal_JND-5 July-07_JND-50" xfId="937"/>
    <cellStyle name="_pgvcl-costal_JND-5 July-07_JND-7" xfId="938"/>
    <cellStyle name="_pgvcl-costal_JND-5 July-07_JND-7_JGY BM Cross FDR" xfId="939"/>
    <cellStyle name="_pgvcl-costal_JND-5 July-07_MIS Summary Jan-08" xfId="940"/>
    <cellStyle name="_pgvcl-costal_JND-5 July-07_MIS Summary Jan-08_Book-DMTHL" xfId="941"/>
    <cellStyle name="_pgvcl-costal_JND-5 July-07_MIS Summary Jan-08_Comparison" xfId="942"/>
    <cellStyle name="_pgvcl-costal_JND-5 July-07_MIS Summary Jan-08_Details of Selected Urban Feeder" xfId="943"/>
    <cellStyle name="_pgvcl-costal_JND-5 July-07_MIS Summary Jan-08_DHTHL JAN-09" xfId="944"/>
    <cellStyle name="_pgvcl-costal_JND-5 July-07_MIS Summary Jan-08_dnthl Feb-09" xfId="945"/>
    <cellStyle name="_pgvcl-costal_JND-5 July-07_MIS Summary Jan-08_JGY BM Cross FDR" xfId="946"/>
    <cellStyle name="_pgvcl-costal_JND-5 July-07_MIS Summary Jan-08_JGYssss" xfId="947"/>
    <cellStyle name="_pgvcl-costal_JND-5 July-07_MIS Summary Jan-08_PBR" xfId="948"/>
    <cellStyle name="_pgvcl-costal_JND-5 July-07_MIS Summary Jan-08_PBR CO_DAILY REPORT GIS - 20-01-09" xfId="949"/>
    <cellStyle name="_pgvcl-costal_JND-5 July-07_MIS Summary Jan-08_T&amp;D August-08" xfId="950"/>
    <cellStyle name="_pgvcl-costal_JND-5 July-07_MIS Summary Jan-08_T&amp;D Dec-08" xfId="951"/>
    <cellStyle name="_pgvcl-costal_JND-5 July-07_MIS Summary Jan-08_T&amp;D July-08" xfId="952"/>
    <cellStyle name="_pgvcl-costal_JND-5 July-07_MIS Summary Jan-08_URBAN WEEKLY PBR CO" xfId="953"/>
    <cellStyle name="_pgvcl-costal_JND-5 July-07_MIS Summary Jan-08_Weekly Urban PBR CO - 06-03-09 to 12-03-09" xfId="954"/>
    <cellStyle name="_pgvcl-costal_JND-5 July-07_MIS Summary Jan-08_Weekly Urban PBR CO - 20-02-09 to 26-02-09" xfId="955"/>
    <cellStyle name="_pgvcl-costal_JND-5 July-07_MIS Summary Jan-08_Weekly Urban PBR CO - 30-01-09 to 05-02-09" xfId="956"/>
    <cellStyle name="_pgvcl-costal_JND-5 July-07_MIS Summary Jan-08_Weekly Urban PBR CO - 9-1-09 to 15.01.09" xfId="957"/>
    <cellStyle name="_pgvcl-costal_JND-5 July-07_NEWMISFromJNDCircle-DEC07" xfId="958"/>
    <cellStyle name="_pgvcl-costal_JND-5 July-07_PBR" xfId="959"/>
    <cellStyle name="_pgvcl-costal_JND-5 July-07_PBR CO_DAILY REPORT GIS - 20-01-09" xfId="960"/>
    <cellStyle name="_pgvcl-costal_JND-5 July-07_PBR-7" xfId="961"/>
    <cellStyle name="_pgvcl-costal_JND-5 July-07_sept JMN-7" xfId="962"/>
    <cellStyle name="_pgvcl-costal_JND-5 July-07_T&amp;D August-08" xfId="963"/>
    <cellStyle name="_pgvcl-costal_JND-5 July-07_T&amp;D Dec-08" xfId="964"/>
    <cellStyle name="_pgvcl-costal_JND-5 July-07_T&amp;D July-08" xfId="965"/>
    <cellStyle name="_pgvcl-costal_JND-5 July-07_URBAN WEEKLY PBR CO" xfId="966"/>
    <cellStyle name="_pgvcl-costal_JND-5 July-07_Weekly Urban PBR CO - 06-03-09 to 12-03-09" xfId="967"/>
    <cellStyle name="_pgvcl-costal_JND-5 July-07_Weekly Urban PBR CO - 20-02-09 to 26-02-09" xfId="968"/>
    <cellStyle name="_pgvcl-costal_JND-5 July-07_Weekly Urban PBR CO - 30-01-09 to 05-02-09" xfId="969"/>
    <cellStyle name="_pgvcl-costal_JND-5 July-07_Weekly Urban PBR CO - 9-1-09 to 15.01.09" xfId="970"/>
    <cellStyle name="_pgvcl-costal_JND-5 T3" xfId="971"/>
    <cellStyle name="_pgvcl-costal_JND-5_1" xfId="972"/>
    <cellStyle name="_pgvcl-costal_JND-5_1_Book-DMTHL" xfId="973"/>
    <cellStyle name="_pgvcl-costal_JND-5_1_Comparison" xfId="974"/>
    <cellStyle name="_pgvcl-costal_JND-5_1_Details of Selected Urban Feeder" xfId="975"/>
    <cellStyle name="_pgvcl-costal_JND-5_1_DHTHL JAN-09" xfId="976"/>
    <cellStyle name="_pgvcl-costal_JND-5_1_dnthl Feb-09" xfId="977"/>
    <cellStyle name="_pgvcl-costal_JND-5_1_JGY BM Cross FDR" xfId="978"/>
    <cellStyle name="_pgvcl-costal_JND-5_1_JGYssss" xfId="979"/>
    <cellStyle name="_pgvcl-costal_JND-5_1_PBR" xfId="980"/>
    <cellStyle name="_pgvcl-costal_JND-5_1_PBR CO_DAILY REPORT GIS - 20-01-09" xfId="981"/>
    <cellStyle name="_pgvcl-costal_JND-5_1_T&amp;D August-08" xfId="982"/>
    <cellStyle name="_pgvcl-costal_JND-5_1_T&amp;D Dec-08" xfId="983"/>
    <cellStyle name="_pgvcl-costal_JND-5_1_T&amp;D July-08" xfId="984"/>
    <cellStyle name="_pgvcl-costal_JND-5_1_URBAN WEEKLY PBR CO" xfId="985"/>
    <cellStyle name="_pgvcl-costal_JND-5_1_Weekly Urban PBR CO - 06-03-09 to 12-03-09" xfId="986"/>
    <cellStyle name="_pgvcl-costal_JND-5_1_Weekly Urban PBR CO - 20-02-09 to 26-02-09" xfId="987"/>
    <cellStyle name="_pgvcl-costal_JND-5_1_Weekly Urban PBR CO - 30-01-09 to 05-02-09" xfId="988"/>
    <cellStyle name="_pgvcl-costal_JND-5_1_Weekly Urban PBR CO - 9-1-09 to 15.01.09" xfId="989"/>
    <cellStyle name="_pgvcl-costal_JND-5_Accident - 2007-08 + 2008-09 -- 15.12.08" xfId="990"/>
    <cellStyle name="_pgvcl-costal_JND-5_Accident S-dn wise up to Nov. 08 for SE's Conference" xfId="991"/>
    <cellStyle name="_pgvcl-costal_JND-5_AG TC METER " xfId="992"/>
    <cellStyle name="_pgvcl-costal_JND-5_AG TC METER _Book-DMTHL" xfId="993"/>
    <cellStyle name="_pgvcl-costal_JND-5_AG TC METER _Comparison" xfId="994"/>
    <cellStyle name="_pgvcl-costal_JND-5_AG TC METER _Details of Selected Urban Feeder" xfId="995"/>
    <cellStyle name="_pgvcl-costal_JND-5_AG TC METER _DHTHL JAN-09" xfId="996"/>
    <cellStyle name="_pgvcl-costal_JND-5_AG TC METER _dnthl Feb-09" xfId="997"/>
    <cellStyle name="_pgvcl-costal_JND-5_AG TC METER _JGY BM Cross FDR" xfId="998"/>
    <cellStyle name="_pgvcl-costal_JND-5_AG TC METER _JGYssss" xfId="999"/>
    <cellStyle name="_pgvcl-costal_JND-5_AG TC METER _PBR" xfId="1000"/>
    <cellStyle name="_pgvcl-costal_JND-5_AG TC METER _PBR CO_DAILY REPORT GIS - 20-01-09" xfId="1001"/>
    <cellStyle name="_pgvcl-costal_JND-5_AG TC METER _T&amp;D August-08" xfId="1002"/>
    <cellStyle name="_pgvcl-costal_JND-5_AG TC METER _T&amp;D Dec-08" xfId="1003"/>
    <cellStyle name="_pgvcl-costal_JND-5_AG TC METER _T&amp;D July-08" xfId="1004"/>
    <cellStyle name="_pgvcl-costal_JND-5_AG TC METER _URBAN WEEKLY PBR CO" xfId="1005"/>
    <cellStyle name="_pgvcl-costal_JND-5_AG TC METER _Weekly Urban PBR CO - 06-03-09 to 12-03-09" xfId="1006"/>
    <cellStyle name="_pgvcl-costal_JND-5_AG TC METER _Weekly Urban PBR CO - 20-02-09 to 26-02-09" xfId="1007"/>
    <cellStyle name="_pgvcl-costal_JND-5_AG TC METER _Weekly Urban PBR CO - 30-01-09 to 05-02-09" xfId="1008"/>
    <cellStyle name="_pgvcl-costal_JND-5_AG TC METER _Weekly Urban PBR CO - 9-1-09 to 15.01.09" xfId="1009"/>
    <cellStyle name="_pgvcl-costal_JND-5_Book-DMTHL" xfId="1010"/>
    <cellStyle name="_pgvcl-costal_JND-5_BVN-7" xfId="1011"/>
    <cellStyle name="_pgvcl-costal_JND-5_BVN-7_JGY BM Cross FDR" xfId="1012"/>
    <cellStyle name="_pgvcl-costal_JND-5_Comparison" xfId="1013"/>
    <cellStyle name="_pgvcl-costal_JND-5_Details of Selected Urban Feeder" xfId="1014"/>
    <cellStyle name="_pgvcl-costal_JND-5_DHTHL JAN-09" xfId="1015"/>
    <cellStyle name="_pgvcl-costal_JND-5_dnthl Feb-09" xfId="1016"/>
    <cellStyle name="_pgvcl-costal_JND-5_JGY BM Cross FDR" xfId="1017"/>
    <cellStyle name="_pgvcl-costal_JND-5_JGYssss" xfId="1018"/>
    <cellStyle name="_pgvcl-costal_JND-5_JMN-7" xfId="1019"/>
    <cellStyle name="_pgvcl-costal_JND-5_JMN-7_JGY BM Cross FDR" xfId="1020"/>
    <cellStyle name="_pgvcl-costal_JND-5_JMN-77" xfId="1021"/>
    <cellStyle name="_pgvcl-costal_JND-5_JMN-77_JGY BM Cross FDR" xfId="1022"/>
    <cellStyle name="_pgvcl-costal_JND-5_JND - 4" xfId="1023"/>
    <cellStyle name="_pgvcl-costal_JND-5_JND - 4_Book-DMTHL" xfId="1024"/>
    <cellStyle name="_pgvcl-costal_JND-5_JND - 4_Comparison" xfId="1025"/>
    <cellStyle name="_pgvcl-costal_JND-5_JND - 4_Details of Selected Urban Feeder" xfId="1026"/>
    <cellStyle name="_pgvcl-costal_JND-5_JND - 4_DHTHL JAN-09" xfId="1027"/>
    <cellStyle name="_pgvcl-costal_JND-5_JND - 4_dnthl Feb-09" xfId="1028"/>
    <cellStyle name="_pgvcl-costal_JND-5_JND - 4_JGY BM Cross FDR" xfId="1029"/>
    <cellStyle name="_pgvcl-costal_JND-5_JND - 4_JGYssss" xfId="1030"/>
    <cellStyle name="_pgvcl-costal_JND-5_JND - 4_PBR" xfId="1031"/>
    <cellStyle name="_pgvcl-costal_JND-5_JND - 4_PBR CO_DAILY REPORT GIS - 20-01-09" xfId="1032"/>
    <cellStyle name="_pgvcl-costal_JND-5_JND - 4_T&amp;D August-08" xfId="1033"/>
    <cellStyle name="_pgvcl-costal_JND-5_JND - 4_T&amp;D Dec-08" xfId="1034"/>
    <cellStyle name="_pgvcl-costal_JND-5_JND - 4_T&amp;D July-08" xfId="1035"/>
    <cellStyle name="_pgvcl-costal_JND-5_JND - 4_URBAN WEEKLY PBR CO" xfId="1036"/>
    <cellStyle name="_pgvcl-costal_JND-5_JND - 4_Weekly Urban PBR CO - 06-03-09 to 12-03-09" xfId="1037"/>
    <cellStyle name="_pgvcl-costal_JND-5_JND - 4_Weekly Urban PBR CO - 20-02-09 to 26-02-09" xfId="1038"/>
    <cellStyle name="_pgvcl-costal_JND-5_JND - 4_Weekly Urban PBR CO - 30-01-09 to 05-02-09" xfId="1039"/>
    <cellStyle name="_pgvcl-costal_JND-5_JND - 4_Weekly Urban PBR CO - 9-1-09 to 15.01.09" xfId="1040"/>
    <cellStyle name="_pgvcl-costal_JND-5_JND - 5" xfId="1041"/>
    <cellStyle name="_pgvcl-costal_JND-5_JND - 5 CFL" xfId="1042"/>
    <cellStyle name="_pgvcl-costal_JND-5_JND - 5 CFL_JGY BM Cross FDR" xfId="1043"/>
    <cellStyle name="_pgvcl-costal_JND-5_JND - 5_03.03.09 Accd, Coastal" xfId="1044"/>
    <cellStyle name="_pgvcl-costal_JND-5_JND - 5_Accd &amp; Coastal 24.08.09" xfId="1045"/>
    <cellStyle name="_pgvcl-costal_JND-5_JND - 5_Accd MOSE 04.08.09" xfId="1046"/>
    <cellStyle name="_pgvcl-costal_JND-5_JND - 5_Accident &amp; Coastal" xfId="1047"/>
    <cellStyle name="_pgvcl-costal_JND-5_JND - 5_Bill Pending - SEs Conf. 21.08.08" xfId="1048"/>
    <cellStyle name="_pgvcl-costal_JND-5_JND - 5_Bill Pending - SEs Conf. 21.08.08_JGY BM Cross FDR" xfId="1049"/>
    <cellStyle name="_pgvcl-costal_JND-5_JND - 5_BOARD 30-03-09" xfId="1050"/>
    <cellStyle name="_pgvcl-costal_JND-5_JND - 5_BOARD 30-03-09_JGY BM Cross FDR" xfId="1051"/>
    <cellStyle name="_pgvcl-costal_JND-5_JND - 5_Book-DMTHL" xfId="1052"/>
    <cellStyle name="_pgvcl-costal_JND-5_JND - 5_Circle wise Coastal" xfId="1053"/>
    <cellStyle name="_pgvcl-costal_JND-5_JND - 5_Coastal TS" xfId="1054"/>
    <cellStyle name="_pgvcl-costal_JND-5_JND - 5_Comparison" xfId="1055"/>
    <cellStyle name="_pgvcl-costal_JND-5_JND - 5_Details of Selected Urban Feeder" xfId="1056"/>
    <cellStyle name="_pgvcl-costal_JND-5_JND - 5_DHTHL JAN-09" xfId="1057"/>
    <cellStyle name="_pgvcl-costal_JND-5_JND - 5_dnthl Feb-09" xfId="1058"/>
    <cellStyle name="_pgvcl-costal_JND-5_JND - 5_HOD 16-04-09 Transformer" xfId="1059"/>
    <cellStyle name="_pgvcl-costal_JND-5_JND - 5_HOD 16-04-09 Transformer_JGY BM Cross FDR" xfId="1060"/>
    <cellStyle name="_pgvcl-costal_JND-5_JND - 5_JGY BM Cross FDR" xfId="1061"/>
    <cellStyle name="_pgvcl-costal_JND-5_JND - 5_JGYssss" xfId="1062"/>
    <cellStyle name="_pgvcl-costal_JND-5_JND - 5_Other Points 01.07.09" xfId="1063"/>
    <cellStyle name="_pgvcl-costal_JND-5_JND - 5_Other Points 16 04 09" xfId="1064"/>
    <cellStyle name="_pgvcl-costal_JND-5_JND - 5_PBR" xfId="1065"/>
    <cellStyle name="_pgvcl-costal_JND-5_JND - 5_PBR CO_DAILY REPORT GIS - 20-01-09" xfId="1066"/>
    <cellStyle name="_pgvcl-costal_JND-5_JND - 5_point 10 Accd Main file SEs Conf 11.02.08" xfId="1067"/>
    <cellStyle name="_pgvcl-costal_JND-5_JND - 5_Point 14.a Transformers Failure" xfId="1068"/>
    <cellStyle name="_pgvcl-costal_JND-5_JND - 5_Point 14.a Transformers Failure_JGY BM Cross FDR" xfId="1069"/>
    <cellStyle name="_pgvcl-costal_JND-5_JND - 5_point 20. Accident" xfId="1070"/>
    <cellStyle name="_pgvcl-costal_JND-5_JND - 5_point 20. Accident_JGY BM Cross FDR" xfId="1071"/>
    <cellStyle name="_pgvcl-costal_JND-5_JND - 5_SE 14-05-09" xfId="1072"/>
    <cellStyle name="_pgvcl-costal_JND-5_JND - 5_SE 14-05-09_JGY BM Cross FDR" xfId="1073"/>
    <cellStyle name="_pgvcl-costal_JND-5_JND - 5_SEs Conf 16 06 09 Tech - 2 details" xfId="1074"/>
    <cellStyle name="_pgvcl-costal_JND-5_JND - 5_SEs Conf. 14.12.2008" xfId="1075"/>
    <cellStyle name="_pgvcl-costal_JND-5_JND - 5_SEs Conf. 14.12.2008_JGY BM Cross FDR" xfId="1076"/>
    <cellStyle name="_pgvcl-costal_JND-5_JND - 5_T&amp;D August-08" xfId="1077"/>
    <cellStyle name="_pgvcl-costal_JND-5_JND - 5_T&amp;D Dec-08" xfId="1078"/>
    <cellStyle name="_pgvcl-costal_JND-5_JND - 5_T&amp;D July-08" xfId="1079"/>
    <cellStyle name="_pgvcl-costal_JND-5_JND - 5_t-2Other Points 14.05.09" xfId="1080"/>
    <cellStyle name="_pgvcl-costal_JND-5_JND - 5_TECH-2 SOFT COPY" xfId="1081"/>
    <cellStyle name="_pgvcl-costal_JND-5_JND - 5_URBAN WEEKLY PBR CO" xfId="1082"/>
    <cellStyle name="_pgvcl-costal_JND-5_JND - 5_Weekly Urban PBR CO - 06-03-09 to 12-03-09" xfId="1083"/>
    <cellStyle name="_pgvcl-costal_JND-5_JND - 5_Weekly Urban PBR CO - 20-02-09 to 26-02-09" xfId="1084"/>
    <cellStyle name="_pgvcl-costal_JND-5_JND - 5_Weekly Urban PBR CO - 30-01-09 to 05-02-09" xfId="1085"/>
    <cellStyle name="_pgvcl-costal_JND-5_JND - 5_Weekly Urban PBR CO - 9-1-09 to 15.01.09" xfId="1086"/>
    <cellStyle name="_pgvcl-costal_JND-5_JND - 7" xfId="1087"/>
    <cellStyle name="_pgvcl-costal_JND-5_JND - 7 T3" xfId="1088"/>
    <cellStyle name="_pgvcl-costal_JND-5_JND - 7_JGY BM Cross FDR" xfId="1089"/>
    <cellStyle name="_pgvcl-costal_JND-5_JND 50" xfId="1090"/>
    <cellStyle name="_pgvcl-costal_JND-5_JND 50_JGY BM Cross FDR" xfId="1091"/>
    <cellStyle name="_pgvcl-costal_JND-5_JND T-3 MIS" xfId="1092"/>
    <cellStyle name="_pgvcl-costal_JND-5_JND-4" xfId="1093"/>
    <cellStyle name="_pgvcl-costal_JND-5_JND-4_Book-DMTHL" xfId="1094"/>
    <cellStyle name="_pgvcl-costal_JND-5_JND-4_Comparison" xfId="1095"/>
    <cellStyle name="_pgvcl-costal_JND-5_JND-4_Details of Selected Urban Feeder" xfId="1096"/>
    <cellStyle name="_pgvcl-costal_JND-5_JND-4_DHTHL JAN-09" xfId="1097"/>
    <cellStyle name="_pgvcl-costal_JND-5_JND-4_dnthl Feb-09" xfId="1098"/>
    <cellStyle name="_pgvcl-costal_JND-5_JND-4_JGY BM Cross FDR" xfId="1099"/>
    <cellStyle name="_pgvcl-costal_JND-5_JND-4_JGYssss" xfId="1100"/>
    <cellStyle name="_pgvcl-costal_JND-5_JND-4_PBR" xfId="1101"/>
    <cellStyle name="_pgvcl-costal_JND-5_JND-4_PBR CO_DAILY REPORT GIS - 20-01-09" xfId="1102"/>
    <cellStyle name="_pgvcl-costal_JND-5_JND-4_T&amp;D August-08" xfId="1103"/>
    <cellStyle name="_pgvcl-costal_JND-5_JND-4_T&amp;D Dec-08" xfId="1104"/>
    <cellStyle name="_pgvcl-costal_JND-5_JND-4_T&amp;D July-08" xfId="1105"/>
    <cellStyle name="_pgvcl-costal_JND-5_JND-4_URBAN WEEKLY PBR CO" xfId="1106"/>
    <cellStyle name="_pgvcl-costal_JND-5_JND-4_Weekly Urban PBR CO - 06-03-09 to 12-03-09" xfId="1107"/>
    <cellStyle name="_pgvcl-costal_JND-5_JND-4_Weekly Urban PBR CO - 20-02-09 to 26-02-09" xfId="1108"/>
    <cellStyle name="_pgvcl-costal_JND-5_JND-4_Weekly Urban PBR CO - 30-01-09 to 05-02-09" xfId="1109"/>
    <cellStyle name="_pgvcl-costal_JND-5_JND-4_Weekly Urban PBR CO - 9-1-09 to 15.01.09" xfId="1110"/>
    <cellStyle name="_pgvcl-costal_JND-5_JND-5" xfId="1111"/>
    <cellStyle name="_pgvcl-costal_JND-5_JND-5 T3" xfId="1112"/>
    <cellStyle name="_pgvcl-costal_JND-5_JND-5_Book-DMTHL" xfId="1113"/>
    <cellStyle name="_pgvcl-costal_JND-5_JND-5_Comparison" xfId="1114"/>
    <cellStyle name="_pgvcl-costal_JND-5_JND-5_Details of Selected Urban Feeder" xfId="1115"/>
    <cellStyle name="_pgvcl-costal_JND-5_JND-5_DHTHL JAN-09" xfId="1116"/>
    <cellStyle name="_pgvcl-costal_JND-5_JND-5_dnthl Feb-09" xfId="1117"/>
    <cellStyle name="_pgvcl-costal_JND-5_JND-5_JGY BM Cross FDR" xfId="1118"/>
    <cellStyle name="_pgvcl-costal_JND-5_JND-5_JGYssss" xfId="1119"/>
    <cellStyle name="_pgvcl-costal_JND-5_JND-5_PBR" xfId="1120"/>
    <cellStyle name="_pgvcl-costal_JND-5_JND-5_PBR CO_DAILY REPORT GIS - 20-01-09" xfId="1121"/>
    <cellStyle name="_pgvcl-costal_JND-5_JND-5_T&amp;D August-08" xfId="1122"/>
    <cellStyle name="_pgvcl-costal_JND-5_JND-5_T&amp;D Dec-08" xfId="1123"/>
    <cellStyle name="_pgvcl-costal_JND-5_JND-5_T&amp;D July-08" xfId="1124"/>
    <cellStyle name="_pgvcl-costal_JND-5_JND-5_URBAN WEEKLY PBR CO" xfId="1125"/>
    <cellStyle name="_pgvcl-costal_JND-5_JND-5_Weekly Urban PBR CO - 06-03-09 to 12-03-09" xfId="1126"/>
    <cellStyle name="_pgvcl-costal_JND-5_JND-5_Weekly Urban PBR CO - 20-02-09 to 26-02-09" xfId="1127"/>
    <cellStyle name="_pgvcl-costal_JND-5_JND-5_Weekly Urban PBR CO - 30-01-09 to 05-02-09" xfId="1128"/>
    <cellStyle name="_pgvcl-costal_JND-5_JND-5_Weekly Urban PBR CO - 9-1-09 to 15.01.09" xfId="1129"/>
    <cellStyle name="_pgvcl-costal_JND-5_JND-50" xfId="1130"/>
    <cellStyle name="_pgvcl-costal_JND-5_JND-50_1" xfId="1131"/>
    <cellStyle name="_pgvcl-costal_JND-5_JND-50_Book-DMTHL" xfId="1132"/>
    <cellStyle name="_pgvcl-costal_JND-5_JND-50_Comparison" xfId="1133"/>
    <cellStyle name="_pgvcl-costal_JND-5_JND-50_Details of Selected Urban Feeder" xfId="1134"/>
    <cellStyle name="_pgvcl-costal_JND-5_JND-50_DHTHL JAN-09" xfId="1135"/>
    <cellStyle name="_pgvcl-costal_JND-5_JND-50_dnthl Feb-09" xfId="1136"/>
    <cellStyle name="_pgvcl-costal_JND-5_JND-50_JGY BM Cross FDR" xfId="1137"/>
    <cellStyle name="_pgvcl-costal_JND-5_JND-50_JGYssss" xfId="1138"/>
    <cellStyle name="_pgvcl-costal_JND-5_JND-50_PBR" xfId="1139"/>
    <cellStyle name="_pgvcl-costal_JND-5_JND-50_PBR CO_DAILY REPORT GIS - 20-01-09" xfId="1140"/>
    <cellStyle name="_pgvcl-costal_JND-5_JND-50_T&amp;D August-08" xfId="1141"/>
    <cellStyle name="_pgvcl-costal_JND-5_JND-50_T&amp;D Dec-08" xfId="1142"/>
    <cellStyle name="_pgvcl-costal_JND-5_JND-50_T&amp;D July-08" xfId="1143"/>
    <cellStyle name="_pgvcl-costal_JND-5_JND-50_URBAN WEEKLY PBR CO" xfId="1144"/>
    <cellStyle name="_pgvcl-costal_JND-5_JND-50_Weekly Urban PBR CO - 06-03-09 to 12-03-09" xfId="1145"/>
    <cellStyle name="_pgvcl-costal_JND-5_JND-50_Weekly Urban PBR CO - 20-02-09 to 26-02-09" xfId="1146"/>
    <cellStyle name="_pgvcl-costal_JND-5_JND-50_Weekly Urban PBR CO - 30-01-09 to 05-02-09" xfId="1147"/>
    <cellStyle name="_pgvcl-costal_JND-5_JND-50_Weekly Urban PBR CO - 9-1-09 to 15.01.09" xfId="1148"/>
    <cellStyle name="_pgvcl-costal_JND-5_JND-51" xfId="1149"/>
    <cellStyle name="_pgvcl-costal_JND-5_JND-51_03.03.09 Accd, Coastal" xfId="1150"/>
    <cellStyle name="_pgvcl-costal_JND-5_JND-51_Accd &amp; Coastal 24.08.09" xfId="1151"/>
    <cellStyle name="_pgvcl-costal_JND-5_JND-51_Accd MOSE 04.08.09" xfId="1152"/>
    <cellStyle name="_pgvcl-costal_JND-5_JND-51_Accident &amp; Coastal" xfId="1153"/>
    <cellStyle name="_pgvcl-costal_JND-5_JND-51_Bill Pending - SEs Conf. 21.08.08" xfId="1154"/>
    <cellStyle name="_pgvcl-costal_JND-5_JND-51_Bill Pending - SEs Conf. 21.08.08_JGY BM Cross FDR" xfId="1155"/>
    <cellStyle name="_pgvcl-costal_JND-5_JND-51_BOARD 30-03-09" xfId="1156"/>
    <cellStyle name="_pgvcl-costal_JND-5_JND-51_BOARD 30-03-09_JGY BM Cross FDR" xfId="1157"/>
    <cellStyle name="_pgvcl-costal_JND-5_JND-51_Book-DMTHL" xfId="1158"/>
    <cellStyle name="_pgvcl-costal_JND-5_JND-51_Circle wise Coastal" xfId="1159"/>
    <cellStyle name="_pgvcl-costal_JND-5_JND-51_Coastal TS" xfId="1160"/>
    <cellStyle name="_pgvcl-costal_JND-5_JND-51_Comparison" xfId="1161"/>
    <cellStyle name="_pgvcl-costal_JND-5_JND-51_Details of Selected Urban Feeder" xfId="1162"/>
    <cellStyle name="_pgvcl-costal_JND-5_JND-51_DHTHL JAN-09" xfId="1163"/>
    <cellStyle name="_pgvcl-costal_JND-5_JND-51_dnthl Feb-09" xfId="1164"/>
    <cellStyle name="_pgvcl-costal_JND-5_JND-51_HOD 16-04-09 Transformer" xfId="1165"/>
    <cellStyle name="_pgvcl-costal_JND-5_JND-51_HOD 16-04-09 Transformer_JGY BM Cross FDR" xfId="1166"/>
    <cellStyle name="_pgvcl-costal_JND-5_JND-51_JGY BM Cross FDR" xfId="1167"/>
    <cellStyle name="_pgvcl-costal_JND-5_JND-51_JGYssss" xfId="1168"/>
    <cellStyle name="_pgvcl-costal_JND-5_JND-51_JND - 5" xfId="1169"/>
    <cellStyle name="_pgvcl-costal_JND-5_JND-51_JND - 5_03.03.09 Accd, Coastal" xfId="1170"/>
    <cellStyle name="_pgvcl-costal_JND-5_JND-51_JND - 5_Accd &amp; Coastal 24.08.09" xfId="1171"/>
    <cellStyle name="_pgvcl-costal_JND-5_JND-51_JND - 5_Accd MOSE 04.08.09" xfId="1172"/>
    <cellStyle name="_pgvcl-costal_JND-5_JND-51_JND - 5_Accident &amp; Coastal" xfId="1173"/>
    <cellStyle name="_pgvcl-costal_JND-5_JND-51_JND - 5_Bill Pending - SEs Conf. 21.08.08" xfId="1174"/>
    <cellStyle name="_pgvcl-costal_JND-5_JND-51_JND - 5_Bill Pending - SEs Conf. 21.08.08_JGY BM Cross FDR" xfId="1175"/>
    <cellStyle name="_pgvcl-costal_JND-5_JND-51_JND - 5_BOARD 30-03-09" xfId="1176"/>
    <cellStyle name="_pgvcl-costal_JND-5_JND-51_JND - 5_BOARD 30-03-09_JGY BM Cross FDR" xfId="1177"/>
    <cellStyle name="_pgvcl-costal_JND-5_JND-51_JND - 5_Book-DMTHL" xfId="1178"/>
    <cellStyle name="_pgvcl-costal_JND-5_JND-51_JND - 5_Circle wise Coastal" xfId="1179"/>
    <cellStyle name="_pgvcl-costal_JND-5_JND-51_JND - 5_Coastal TS" xfId="1180"/>
    <cellStyle name="_pgvcl-costal_JND-5_JND-51_JND - 5_Comparison" xfId="1181"/>
    <cellStyle name="_pgvcl-costal_JND-5_JND-51_JND - 5_Details of Selected Urban Feeder" xfId="1182"/>
    <cellStyle name="_pgvcl-costal_JND-5_JND-51_JND - 5_DHTHL JAN-09" xfId="1183"/>
    <cellStyle name="_pgvcl-costal_JND-5_JND-51_JND - 5_dnthl Feb-09" xfId="1184"/>
    <cellStyle name="_pgvcl-costal_JND-5_JND-51_JND - 5_HOD 16-04-09 Transformer" xfId="1185"/>
    <cellStyle name="_pgvcl-costal_JND-5_JND-51_JND - 5_HOD 16-04-09 Transformer_JGY BM Cross FDR" xfId="1186"/>
    <cellStyle name="_pgvcl-costal_JND-5_JND-51_JND - 5_JGY BM Cross FDR" xfId="1187"/>
    <cellStyle name="_pgvcl-costal_JND-5_JND-51_JND - 5_JGYssss" xfId="1188"/>
    <cellStyle name="_pgvcl-costal_JND-5_JND-51_JND - 5_Other Points 01.07.09" xfId="1189"/>
    <cellStyle name="_pgvcl-costal_JND-5_JND-51_JND - 5_Other Points 16 04 09" xfId="1190"/>
    <cellStyle name="_pgvcl-costal_JND-5_JND-51_JND - 5_PBR" xfId="1191"/>
    <cellStyle name="_pgvcl-costal_JND-5_JND-51_JND - 5_PBR CO_DAILY REPORT GIS - 20-01-09" xfId="1192"/>
    <cellStyle name="_pgvcl-costal_JND-5_JND-51_JND - 5_point 10 Accd Main file SEs Conf 11.02.08" xfId="1193"/>
    <cellStyle name="_pgvcl-costal_JND-5_JND-51_JND - 5_Point 14.a Transformers Failure" xfId="1194"/>
    <cellStyle name="_pgvcl-costal_JND-5_JND-51_JND - 5_Point 14.a Transformers Failure_JGY BM Cross FDR" xfId="1195"/>
    <cellStyle name="_pgvcl-costal_JND-5_JND-51_JND - 5_point 20. Accident" xfId="1196"/>
    <cellStyle name="_pgvcl-costal_JND-5_JND-51_JND - 5_point 20. Accident_JGY BM Cross FDR" xfId="1197"/>
    <cellStyle name="_pgvcl-costal_JND-5_JND-51_JND - 5_SE 14-05-09" xfId="1198"/>
    <cellStyle name="_pgvcl-costal_JND-5_JND-51_JND - 5_SE 14-05-09_JGY BM Cross FDR" xfId="1199"/>
    <cellStyle name="_pgvcl-costal_JND-5_JND-51_JND - 5_SEs Conf 16 06 09 Tech - 2 details" xfId="1200"/>
    <cellStyle name="_pgvcl-costal_JND-5_JND-51_JND - 5_SEs Conf. 14.12.2008" xfId="1201"/>
    <cellStyle name="_pgvcl-costal_JND-5_JND-51_JND - 5_SEs Conf. 14.12.2008_JGY BM Cross FDR" xfId="1202"/>
    <cellStyle name="_pgvcl-costal_JND-5_JND-51_JND - 5_T&amp;D August-08" xfId="1203"/>
    <cellStyle name="_pgvcl-costal_JND-5_JND-51_JND - 5_T&amp;D Dec-08" xfId="1204"/>
    <cellStyle name="_pgvcl-costal_JND-5_JND-51_JND - 5_T&amp;D July-08" xfId="1205"/>
    <cellStyle name="_pgvcl-costal_JND-5_JND-51_JND - 5_t-2Other Points 14.05.09" xfId="1206"/>
    <cellStyle name="_pgvcl-costal_JND-5_JND-51_JND - 5_TECH-2 SOFT COPY" xfId="1207"/>
    <cellStyle name="_pgvcl-costal_JND-5_JND-51_JND - 5_URBAN WEEKLY PBR CO" xfId="1208"/>
    <cellStyle name="_pgvcl-costal_JND-5_JND-51_JND - 5_Weekly Urban PBR CO - 06-03-09 to 12-03-09" xfId="1209"/>
    <cellStyle name="_pgvcl-costal_JND-5_JND-51_JND - 5_Weekly Urban PBR CO - 20-02-09 to 26-02-09" xfId="1210"/>
    <cellStyle name="_pgvcl-costal_JND-5_JND-51_JND - 5_Weekly Urban PBR CO - 30-01-09 to 05-02-09" xfId="1211"/>
    <cellStyle name="_pgvcl-costal_JND-5_JND-51_JND - 5_Weekly Urban PBR CO - 9-1-09 to 15.01.09" xfId="1212"/>
    <cellStyle name="_pgvcl-costal_JND-5_JND-51_NEW MIS Jan - 08" xfId="1213"/>
    <cellStyle name="_pgvcl-costal_JND-5_JND-51_NEW MIS Jan - 08_Book-DMTHL" xfId="1214"/>
    <cellStyle name="_pgvcl-costal_JND-5_JND-51_NEW MIS Jan - 08_Comparison" xfId="1215"/>
    <cellStyle name="_pgvcl-costal_JND-5_JND-51_NEW MIS Jan - 08_Details of Selected Urban Feeder" xfId="1216"/>
    <cellStyle name="_pgvcl-costal_JND-5_JND-51_NEW MIS Jan - 08_DHTHL JAN-09" xfId="1217"/>
    <cellStyle name="_pgvcl-costal_JND-5_JND-51_NEW MIS Jan - 08_dnthl Feb-09" xfId="1218"/>
    <cellStyle name="_pgvcl-costal_JND-5_JND-51_NEW MIS Jan - 08_JGY BM Cross FDR" xfId="1219"/>
    <cellStyle name="_pgvcl-costal_JND-5_JND-51_NEW MIS Jan - 08_JGYssss" xfId="1220"/>
    <cellStyle name="_pgvcl-costal_JND-5_JND-51_NEW MIS Jan - 08_PBR" xfId="1221"/>
    <cellStyle name="_pgvcl-costal_JND-5_JND-51_NEW MIS Jan - 08_PBR CO_DAILY REPORT GIS - 20-01-09" xfId="1222"/>
    <cellStyle name="_pgvcl-costal_JND-5_JND-51_NEW MIS Jan - 08_T&amp;D August-08" xfId="1223"/>
    <cellStyle name="_pgvcl-costal_JND-5_JND-51_NEW MIS Jan - 08_T&amp;D Dec-08" xfId="1224"/>
    <cellStyle name="_pgvcl-costal_JND-5_JND-51_NEW MIS Jan - 08_T&amp;D July-08" xfId="1225"/>
    <cellStyle name="_pgvcl-costal_JND-5_JND-51_NEW MIS Jan - 08_URBAN WEEKLY PBR CO" xfId="1226"/>
    <cellStyle name="_pgvcl-costal_JND-5_JND-51_NEW MIS Jan - 08_Weekly Urban PBR CO - 06-03-09 to 12-03-09" xfId="1227"/>
    <cellStyle name="_pgvcl-costal_JND-5_JND-51_NEW MIS Jan - 08_Weekly Urban PBR CO - 20-02-09 to 26-02-09" xfId="1228"/>
    <cellStyle name="_pgvcl-costal_JND-5_JND-51_NEW MIS Jan - 08_Weekly Urban PBR CO - 30-01-09 to 05-02-09" xfId="1229"/>
    <cellStyle name="_pgvcl-costal_JND-5_JND-51_NEW MIS Jan - 08_Weekly Urban PBR CO - 9-1-09 to 15.01.09" xfId="1230"/>
    <cellStyle name="_pgvcl-costal_JND-5_JND-51_NEWMISFromJNDCircle-DEC07" xfId="1231"/>
    <cellStyle name="_pgvcl-costal_JND-5_JND-51_Other Points 01.07.09" xfId="1232"/>
    <cellStyle name="_pgvcl-costal_JND-5_JND-51_Other Points 16 04 09" xfId="1233"/>
    <cellStyle name="_pgvcl-costal_JND-5_JND-51_PBR" xfId="1234"/>
    <cellStyle name="_pgvcl-costal_JND-5_JND-51_PBR CO_DAILY REPORT GIS - 20-01-09" xfId="1235"/>
    <cellStyle name="_pgvcl-costal_JND-5_JND-51_point 10 Accd Main file SEs Conf 11.02.08" xfId="1236"/>
    <cellStyle name="_pgvcl-costal_JND-5_JND-51_Point 14.a Transformers Failure" xfId="1237"/>
    <cellStyle name="_pgvcl-costal_JND-5_JND-51_Point 14.a Transformers Failure_JGY BM Cross FDR" xfId="1238"/>
    <cellStyle name="_pgvcl-costal_JND-5_JND-51_point 20. Accident" xfId="1239"/>
    <cellStyle name="_pgvcl-costal_JND-5_JND-51_point 20. Accident_JGY BM Cross FDR" xfId="1240"/>
    <cellStyle name="_pgvcl-costal_JND-5_JND-51_SE 14-05-09" xfId="1241"/>
    <cellStyle name="_pgvcl-costal_JND-5_JND-51_SE 14-05-09_JGY BM Cross FDR" xfId="1242"/>
    <cellStyle name="_pgvcl-costal_JND-5_JND-51_SEs Conf 16 06 09 Tech - 2 details" xfId="1243"/>
    <cellStyle name="_pgvcl-costal_JND-5_JND-51_SEs Conf. 14.12.2008" xfId="1244"/>
    <cellStyle name="_pgvcl-costal_JND-5_JND-51_SEs Conf. 14.12.2008_JGY BM Cross FDR" xfId="1245"/>
    <cellStyle name="_pgvcl-costal_JND-5_JND-51_T&amp;D August-08" xfId="1246"/>
    <cellStyle name="_pgvcl-costal_JND-5_JND-51_T&amp;D Dec-08" xfId="1247"/>
    <cellStyle name="_pgvcl-costal_JND-5_JND-51_T&amp;D July-08" xfId="1248"/>
    <cellStyle name="_pgvcl-costal_JND-5_JND-51_t-2Other Points 14.05.09" xfId="1249"/>
    <cellStyle name="_pgvcl-costal_JND-5_JND-51_TECH-2 SOFT COPY" xfId="1250"/>
    <cellStyle name="_pgvcl-costal_JND-5_JND-51_URBAN WEEKLY PBR CO" xfId="1251"/>
    <cellStyle name="_pgvcl-costal_JND-5_JND-51_Weekly Urban PBR CO - 06-03-09 to 12-03-09" xfId="1252"/>
    <cellStyle name="_pgvcl-costal_JND-5_JND-51_Weekly Urban PBR CO - 20-02-09 to 26-02-09" xfId="1253"/>
    <cellStyle name="_pgvcl-costal_JND-5_JND-51_Weekly Urban PBR CO - 30-01-09 to 05-02-09" xfId="1254"/>
    <cellStyle name="_pgvcl-costal_JND-5_JND-51_Weekly Urban PBR CO - 9-1-09 to 15.01.09" xfId="1255"/>
    <cellStyle name="_pgvcl-costal_JND-5_JND-7" xfId="1256"/>
    <cellStyle name="_pgvcl-costal_JND-5_JND-7_JGY BM Cross FDR" xfId="1257"/>
    <cellStyle name="_pgvcl-costal_JND-5_MIS" xfId="1258"/>
    <cellStyle name="_pgvcl-costal_JND-5_MIS Dec - 07" xfId="1259"/>
    <cellStyle name="_pgvcl-costal_JND-5_MIS Dec - 07_Book-DMTHL" xfId="1260"/>
    <cellStyle name="_pgvcl-costal_JND-5_MIS Dec - 07_Comparison" xfId="1261"/>
    <cellStyle name="_pgvcl-costal_JND-5_MIS Dec - 07_Details of Selected Urban Feeder" xfId="1262"/>
    <cellStyle name="_pgvcl-costal_JND-5_MIS Dec - 07_DHTHL JAN-09" xfId="1263"/>
    <cellStyle name="_pgvcl-costal_JND-5_MIS Dec - 07_dnthl Feb-09" xfId="1264"/>
    <cellStyle name="_pgvcl-costal_JND-5_MIS Dec - 07_JGY BM Cross FDR" xfId="1265"/>
    <cellStyle name="_pgvcl-costal_JND-5_MIS Dec - 07_JGYssss" xfId="1266"/>
    <cellStyle name="_pgvcl-costal_JND-5_MIS Dec - 07_JND - 7 T3" xfId="1267"/>
    <cellStyle name="_pgvcl-costal_JND-5_MIS Dec - 07_JND T-3 MIS" xfId="1268"/>
    <cellStyle name="_pgvcl-costal_JND-5_MIS Dec - 07_JND-5 T3" xfId="1269"/>
    <cellStyle name="_pgvcl-costal_JND-5_MIS Dec - 07_PBR" xfId="1270"/>
    <cellStyle name="_pgvcl-costal_JND-5_MIS Dec - 07_PBR CO_DAILY REPORT GIS - 20-01-09" xfId="1271"/>
    <cellStyle name="_pgvcl-costal_JND-5_MIS Dec - 07_T&amp;D August-08" xfId="1272"/>
    <cellStyle name="_pgvcl-costal_JND-5_MIS Dec - 07_T&amp;D Dec-08" xfId="1273"/>
    <cellStyle name="_pgvcl-costal_JND-5_MIS Dec - 07_T&amp;D July-08" xfId="1274"/>
    <cellStyle name="_pgvcl-costal_JND-5_MIS Dec - 07_URBAN WEEKLY PBR CO" xfId="1275"/>
    <cellStyle name="_pgvcl-costal_JND-5_MIS Dec - 07_Weekly Urban PBR CO - 06-03-09 to 12-03-09" xfId="1276"/>
    <cellStyle name="_pgvcl-costal_JND-5_MIS Dec - 07_Weekly Urban PBR CO - 20-02-09 to 26-02-09" xfId="1277"/>
    <cellStyle name="_pgvcl-costal_JND-5_MIS Dec - 07_Weekly Urban PBR CO - 30-01-09 to 05-02-09" xfId="1278"/>
    <cellStyle name="_pgvcl-costal_JND-5_MIS Dec - 07_Weekly Urban PBR CO - 9-1-09 to 15.01.09" xfId="1279"/>
    <cellStyle name="_pgvcl-costal_JND-5_MIS Jan - 08" xfId="1280"/>
    <cellStyle name="_pgvcl-costal_JND-5_MIS Jan - 08_Book-DMTHL" xfId="1281"/>
    <cellStyle name="_pgvcl-costal_JND-5_MIS Jan - 08_Comparison" xfId="1282"/>
    <cellStyle name="_pgvcl-costal_JND-5_MIS Jan - 08_Details of Selected Urban Feeder" xfId="1283"/>
    <cellStyle name="_pgvcl-costal_JND-5_MIS Jan - 08_DHTHL JAN-09" xfId="1284"/>
    <cellStyle name="_pgvcl-costal_JND-5_MIS Jan - 08_dnthl Feb-09" xfId="1285"/>
    <cellStyle name="_pgvcl-costal_JND-5_MIS Jan - 08_JGY BM Cross FDR" xfId="1286"/>
    <cellStyle name="_pgvcl-costal_JND-5_MIS Jan - 08_JGYssss" xfId="1287"/>
    <cellStyle name="_pgvcl-costal_JND-5_MIS Jan - 08_PBR" xfId="1288"/>
    <cellStyle name="_pgvcl-costal_JND-5_MIS Jan - 08_PBR CO_DAILY REPORT GIS - 20-01-09" xfId="1289"/>
    <cellStyle name="_pgvcl-costal_JND-5_MIS Jan - 08_T&amp;D August-08" xfId="1290"/>
    <cellStyle name="_pgvcl-costal_JND-5_MIS Jan - 08_T&amp;D Dec-08" xfId="1291"/>
    <cellStyle name="_pgvcl-costal_JND-5_MIS Jan - 08_T&amp;D July-08" xfId="1292"/>
    <cellStyle name="_pgvcl-costal_JND-5_MIS Jan - 08_URBAN WEEKLY PBR CO" xfId="1293"/>
    <cellStyle name="_pgvcl-costal_JND-5_MIS Jan - 08_Weekly Urban PBR CO - 06-03-09 to 12-03-09" xfId="1294"/>
    <cellStyle name="_pgvcl-costal_JND-5_MIS Jan - 08_Weekly Urban PBR CO - 20-02-09 to 26-02-09" xfId="1295"/>
    <cellStyle name="_pgvcl-costal_JND-5_MIS Jan - 08_Weekly Urban PBR CO - 30-01-09 to 05-02-09" xfId="1296"/>
    <cellStyle name="_pgvcl-costal_JND-5_MIS Jan - 08_Weekly Urban PBR CO - 9-1-09 to 15.01.09" xfId="1297"/>
    <cellStyle name="_pgvcl-costal_JND-5_MIS Nov - 07" xfId="1298"/>
    <cellStyle name="_pgvcl-costal_JND-5_MIS Summary Jan-08" xfId="1299"/>
    <cellStyle name="_pgvcl-costal_JND-5_MIS Summary Jan-08_Book-DMTHL" xfId="1300"/>
    <cellStyle name="_pgvcl-costal_JND-5_MIS Summary Jan-08_Comparison" xfId="1301"/>
    <cellStyle name="_pgvcl-costal_JND-5_MIS Summary Jan-08_Details of Selected Urban Feeder" xfId="1302"/>
    <cellStyle name="_pgvcl-costal_JND-5_MIS Summary Jan-08_DHTHL JAN-09" xfId="1303"/>
    <cellStyle name="_pgvcl-costal_JND-5_MIS Summary Jan-08_dnthl Feb-09" xfId="1304"/>
    <cellStyle name="_pgvcl-costal_JND-5_MIS Summary Jan-08_JGY BM Cross FDR" xfId="1305"/>
    <cellStyle name="_pgvcl-costal_JND-5_MIS Summary Jan-08_JGYssss" xfId="1306"/>
    <cellStyle name="_pgvcl-costal_JND-5_MIS Summary Jan-08_PBR" xfId="1307"/>
    <cellStyle name="_pgvcl-costal_JND-5_MIS Summary Jan-08_PBR CO_DAILY REPORT GIS - 20-01-09" xfId="1308"/>
    <cellStyle name="_pgvcl-costal_JND-5_MIS Summary Jan-08_T&amp;D August-08" xfId="1309"/>
    <cellStyle name="_pgvcl-costal_JND-5_MIS Summary Jan-08_T&amp;D Dec-08" xfId="1310"/>
    <cellStyle name="_pgvcl-costal_JND-5_MIS Summary Jan-08_T&amp;D July-08" xfId="1311"/>
    <cellStyle name="_pgvcl-costal_JND-5_MIS Summary Jan-08_URBAN WEEKLY PBR CO" xfId="1312"/>
    <cellStyle name="_pgvcl-costal_JND-5_MIS Summary Jan-08_Weekly Urban PBR CO - 06-03-09 to 12-03-09" xfId="1313"/>
    <cellStyle name="_pgvcl-costal_JND-5_MIS Summary Jan-08_Weekly Urban PBR CO - 20-02-09 to 26-02-09" xfId="1314"/>
    <cellStyle name="_pgvcl-costal_JND-5_MIS Summary Jan-08_Weekly Urban PBR CO - 30-01-09 to 05-02-09" xfId="1315"/>
    <cellStyle name="_pgvcl-costal_JND-5_MIS Summary Jan-08_Weekly Urban PBR CO - 9-1-09 to 15.01.09" xfId="1316"/>
    <cellStyle name="_pgvcl-costal_JND-5_MIS_Book-DMTHL" xfId="1317"/>
    <cellStyle name="_pgvcl-costal_JND-5_MIS_Comparison" xfId="1318"/>
    <cellStyle name="_pgvcl-costal_JND-5_MIS_Details of Selected Urban Feeder" xfId="1319"/>
    <cellStyle name="_pgvcl-costal_JND-5_MIS_DHTHL JAN-09" xfId="1320"/>
    <cellStyle name="_pgvcl-costal_JND-5_MIS_dnthl Feb-09" xfId="1321"/>
    <cellStyle name="_pgvcl-costal_JND-5_MIS_JGY BM Cross FDR" xfId="1322"/>
    <cellStyle name="_pgvcl-costal_JND-5_MIS_JGYssss" xfId="1323"/>
    <cellStyle name="_pgvcl-costal_JND-5_MIS_JND - 7 T3" xfId="1324"/>
    <cellStyle name="_pgvcl-costal_JND-5_MIS_JND T-3 MIS" xfId="1325"/>
    <cellStyle name="_pgvcl-costal_JND-5_MIS_JND-5 T3" xfId="1326"/>
    <cellStyle name="_pgvcl-costal_JND-5_MIS_PBR" xfId="1327"/>
    <cellStyle name="_pgvcl-costal_JND-5_MIS_PBR CO_DAILY REPORT GIS - 20-01-09" xfId="1328"/>
    <cellStyle name="_pgvcl-costal_JND-5_MIS_T&amp;D August-08" xfId="1329"/>
    <cellStyle name="_pgvcl-costal_JND-5_MIS_T&amp;D Dec-08" xfId="1330"/>
    <cellStyle name="_pgvcl-costal_JND-5_MIS_T&amp;D July-08" xfId="1331"/>
    <cellStyle name="_pgvcl-costal_JND-5_MIS_URBAN WEEKLY PBR CO" xfId="1332"/>
    <cellStyle name="_pgvcl-costal_JND-5_MIS_Weekly Urban PBR CO - 06-03-09 to 12-03-09" xfId="1333"/>
    <cellStyle name="_pgvcl-costal_JND-5_MIS_Weekly Urban PBR CO - 20-02-09 to 26-02-09" xfId="1334"/>
    <cellStyle name="_pgvcl-costal_JND-5_MIS_Weekly Urban PBR CO - 30-01-09 to 05-02-09" xfId="1335"/>
    <cellStyle name="_pgvcl-costal_JND-5_MIS_Weekly Urban PBR CO - 9-1-09 to 15.01.09" xfId="1336"/>
    <cellStyle name="_pgvcl-costal_JND-5_NEW MIS From JND Circle" xfId="1337"/>
    <cellStyle name="_pgvcl-costal_JND-5_NEW MIS From JND Circle_Book-DMTHL" xfId="1338"/>
    <cellStyle name="_pgvcl-costal_JND-5_NEW MIS From JND Circle_Comparison" xfId="1339"/>
    <cellStyle name="_pgvcl-costal_JND-5_NEW MIS From JND Circle_Details of Selected Urban Feeder" xfId="1340"/>
    <cellStyle name="_pgvcl-costal_JND-5_NEW MIS From JND Circle_DHTHL JAN-09" xfId="1341"/>
    <cellStyle name="_pgvcl-costal_JND-5_NEW MIS From JND Circle_dnthl Feb-09" xfId="1342"/>
    <cellStyle name="_pgvcl-costal_JND-5_NEW MIS From JND Circle_JGY BM Cross FDR" xfId="1343"/>
    <cellStyle name="_pgvcl-costal_JND-5_NEW MIS From JND Circle_JGYssss" xfId="1344"/>
    <cellStyle name="_pgvcl-costal_JND-5_NEW MIS From JND Circle_JND - 5" xfId="1345"/>
    <cellStyle name="_pgvcl-costal_JND-5_NEW MIS From JND Circle_JND - 5_Book-DMTHL" xfId="1346"/>
    <cellStyle name="_pgvcl-costal_JND-5_NEW MIS From JND Circle_JND - 5_Comparison" xfId="1347"/>
    <cellStyle name="_pgvcl-costal_JND-5_NEW MIS From JND Circle_JND - 5_Details of Selected Urban Feeder" xfId="1348"/>
    <cellStyle name="_pgvcl-costal_JND-5_NEW MIS From JND Circle_JND - 5_DHTHL JAN-09" xfId="1349"/>
    <cellStyle name="_pgvcl-costal_JND-5_NEW MIS From JND Circle_JND - 5_dnthl Feb-09" xfId="1350"/>
    <cellStyle name="_pgvcl-costal_JND-5_NEW MIS From JND Circle_JND - 5_JGY BM Cross FDR" xfId="1351"/>
    <cellStyle name="_pgvcl-costal_JND-5_NEW MIS From JND Circle_JND - 5_JGYssss" xfId="1352"/>
    <cellStyle name="_pgvcl-costal_JND-5_NEW MIS From JND Circle_JND - 5_PBR" xfId="1353"/>
    <cellStyle name="_pgvcl-costal_JND-5_NEW MIS From JND Circle_JND - 5_PBR CO_DAILY REPORT GIS - 20-01-09" xfId="1354"/>
    <cellStyle name="_pgvcl-costal_JND-5_NEW MIS From JND Circle_JND - 5_T&amp;D August-08" xfId="1355"/>
    <cellStyle name="_pgvcl-costal_JND-5_NEW MIS From JND Circle_JND - 5_T&amp;D Dec-08" xfId="1356"/>
    <cellStyle name="_pgvcl-costal_JND-5_NEW MIS From JND Circle_JND - 5_T&amp;D July-08" xfId="1357"/>
    <cellStyle name="_pgvcl-costal_JND-5_NEW MIS From JND Circle_JND - 5_URBAN WEEKLY PBR CO" xfId="1358"/>
    <cellStyle name="_pgvcl-costal_JND-5_NEW MIS From JND Circle_JND - 5_Weekly Urban PBR CO - 06-03-09 to 12-03-09" xfId="1359"/>
    <cellStyle name="_pgvcl-costal_JND-5_NEW MIS From JND Circle_JND - 5_Weekly Urban PBR CO - 20-02-09 to 26-02-09" xfId="1360"/>
    <cellStyle name="_pgvcl-costal_JND-5_NEW MIS From JND Circle_JND - 5_Weekly Urban PBR CO - 30-01-09 to 05-02-09" xfId="1361"/>
    <cellStyle name="_pgvcl-costal_JND-5_NEW MIS From JND Circle_JND - 5_Weekly Urban PBR CO - 9-1-09 to 15.01.09" xfId="1362"/>
    <cellStyle name="_pgvcl-costal_JND-5_NEW MIS From JND Circle_NEW MIS Jan - 08" xfId="1363"/>
    <cellStyle name="_pgvcl-costal_JND-5_NEW MIS From JND Circle_NEW MIS Jan - 08_Book-DMTHL" xfId="1364"/>
    <cellStyle name="_pgvcl-costal_JND-5_NEW MIS From JND Circle_NEW MIS Jan - 08_Comparison" xfId="1365"/>
    <cellStyle name="_pgvcl-costal_JND-5_NEW MIS From JND Circle_NEW MIS Jan - 08_Details of Selected Urban Feeder" xfId="1366"/>
    <cellStyle name="_pgvcl-costal_JND-5_NEW MIS From JND Circle_NEW MIS Jan - 08_DHTHL JAN-09" xfId="1367"/>
    <cellStyle name="_pgvcl-costal_JND-5_NEW MIS From JND Circle_NEW MIS Jan - 08_dnthl Feb-09" xfId="1368"/>
    <cellStyle name="_pgvcl-costal_JND-5_NEW MIS From JND Circle_NEW MIS Jan - 08_JGY BM Cross FDR" xfId="1369"/>
    <cellStyle name="_pgvcl-costal_JND-5_NEW MIS From JND Circle_NEW MIS Jan - 08_JGYssss" xfId="1370"/>
    <cellStyle name="_pgvcl-costal_JND-5_NEW MIS From JND Circle_NEW MIS Jan - 08_PBR" xfId="1371"/>
    <cellStyle name="_pgvcl-costal_JND-5_NEW MIS From JND Circle_NEW MIS Jan - 08_PBR CO_DAILY REPORT GIS - 20-01-09" xfId="1372"/>
    <cellStyle name="_pgvcl-costal_JND-5_NEW MIS From JND Circle_NEW MIS Jan - 08_T&amp;D August-08" xfId="1373"/>
    <cellStyle name="_pgvcl-costal_JND-5_NEW MIS From JND Circle_NEW MIS Jan - 08_T&amp;D Dec-08" xfId="1374"/>
    <cellStyle name="_pgvcl-costal_JND-5_NEW MIS From JND Circle_NEW MIS Jan - 08_T&amp;D July-08" xfId="1375"/>
    <cellStyle name="_pgvcl-costal_JND-5_NEW MIS From JND Circle_NEW MIS Jan - 08_URBAN WEEKLY PBR CO" xfId="1376"/>
    <cellStyle name="_pgvcl-costal_JND-5_NEW MIS From JND Circle_NEW MIS Jan - 08_Weekly Urban PBR CO - 06-03-09 to 12-03-09" xfId="1377"/>
    <cellStyle name="_pgvcl-costal_JND-5_NEW MIS From JND Circle_NEW MIS Jan - 08_Weekly Urban PBR CO - 20-02-09 to 26-02-09" xfId="1378"/>
    <cellStyle name="_pgvcl-costal_JND-5_NEW MIS From JND Circle_NEW MIS Jan - 08_Weekly Urban PBR CO - 30-01-09 to 05-02-09" xfId="1379"/>
    <cellStyle name="_pgvcl-costal_JND-5_NEW MIS From JND Circle_NEW MIS Jan - 08_Weekly Urban PBR CO - 9-1-09 to 15.01.09" xfId="1380"/>
    <cellStyle name="_pgvcl-costal_JND-5_NEW MIS From JND Circle_PBR" xfId="1381"/>
    <cellStyle name="_pgvcl-costal_JND-5_NEW MIS From JND Circle_PBR CO_DAILY REPORT GIS - 20-01-09" xfId="1382"/>
    <cellStyle name="_pgvcl-costal_JND-5_NEW MIS From JND Circle_T&amp;D August-08" xfId="1383"/>
    <cellStyle name="_pgvcl-costal_JND-5_NEW MIS From JND Circle_T&amp;D Dec-08" xfId="1384"/>
    <cellStyle name="_pgvcl-costal_JND-5_NEW MIS From JND Circle_T&amp;D July-08" xfId="1385"/>
    <cellStyle name="_pgvcl-costal_JND-5_NEW MIS From JND Circle_URBAN WEEKLY PBR CO" xfId="1386"/>
    <cellStyle name="_pgvcl-costal_JND-5_NEW MIS From JND Circle_Weekly Urban PBR CO - 06-03-09 to 12-03-09" xfId="1387"/>
    <cellStyle name="_pgvcl-costal_JND-5_NEW MIS From JND Circle_Weekly Urban PBR CO - 20-02-09 to 26-02-09" xfId="1388"/>
    <cellStyle name="_pgvcl-costal_JND-5_NEW MIS From JND Circle_Weekly Urban PBR CO - 30-01-09 to 05-02-09" xfId="1389"/>
    <cellStyle name="_pgvcl-costal_JND-5_NEW MIS From JND Circle_Weekly Urban PBR CO - 9-1-09 to 15.01.09" xfId="1390"/>
    <cellStyle name="_pgvcl-costal_JND-5_NEW MIS Jan - 08" xfId="1391"/>
    <cellStyle name="_pgvcl-costal_JND-5_NEW MIS Jan - 08_Book-DMTHL" xfId="1392"/>
    <cellStyle name="_pgvcl-costal_JND-5_NEW MIS Jan - 08_Comparison" xfId="1393"/>
    <cellStyle name="_pgvcl-costal_JND-5_NEW MIS Jan - 08_Details of Selected Urban Feeder" xfId="1394"/>
    <cellStyle name="_pgvcl-costal_JND-5_NEW MIS Jan - 08_DHTHL JAN-09" xfId="1395"/>
    <cellStyle name="_pgvcl-costal_JND-5_NEW MIS Jan - 08_dnthl Feb-09" xfId="1396"/>
    <cellStyle name="_pgvcl-costal_JND-5_NEW MIS Jan - 08_JGY BM Cross FDR" xfId="1397"/>
    <cellStyle name="_pgvcl-costal_JND-5_NEW MIS Jan - 08_JGYssss" xfId="1398"/>
    <cellStyle name="_pgvcl-costal_JND-5_NEW MIS Jan - 08_PBR" xfId="1399"/>
    <cellStyle name="_pgvcl-costal_JND-5_NEW MIS Jan - 08_PBR CO_DAILY REPORT GIS - 20-01-09" xfId="1400"/>
    <cellStyle name="_pgvcl-costal_JND-5_NEW MIS Jan - 08_T&amp;D August-08" xfId="1401"/>
    <cellStyle name="_pgvcl-costal_JND-5_NEW MIS Jan - 08_T&amp;D Dec-08" xfId="1402"/>
    <cellStyle name="_pgvcl-costal_JND-5_NEW MIS Jan - 08_T&amp;D July-08" xfId="1403"/>
    <cellStyle name="_pgvcl-costal_JND-5_NEW MIS Jan - 08_URBAN WEEKLY PBR CO" xfId="1404"/>
    <cellStyle name="_pgvcl-costal_JND-5_NEW MIS Jan - 08_Weekly Urban PBR CO - 06-03-09 to 12-03-09" xfId="1405"/>
    <cellStyle name="_pgvcl-costal_JND-5_NEW MIS Jan - 08_Weekly Urban PBR CO - 20-02-09 to 26-02-09" xfId="1406"/>
    <cellStyle name="_pgvcl-costal_JND-5_NEW MIS Jan - 08_Weekly Urban PBR CO - 30-01-09 to 05-02-09" xfId="1407"/>
    <cellStyle name="_pgvcl-costal_JND-5_NEW MIS Jan - 08_Weekly Urban PBR CO - 9-1-09 to 15.01.09" xfId="1408"/>
    <cellStyle name="_pgvcl-costal_JND-5_NEWMISFromJNDCircle-DEC07" xfId="1409"/>
    <cellStyle name="_pgvcl-costal_JND-5_PBR" xfId="1410"/>
    <cellStyle name="_pgvcl-costal_JND-5_PBR CO_DAILY REPORT GIS - 20-01-09" xfId="1411"/>
    <cellStyle name="_pgvcl-costal_JND-5_PBR-7" xfId="1412"/>
    <cellStyle name="_pgvcl-costal_JND-5_sept JMN-7" xfId="1413"/>
    <cellStyle name="_pgvcl-costal_JND-5_T&amp;D August-08" xfId="1414"/>
    <cellStyle name="_pgvcl-costal_JND-5_T&amp;D Dec-08" xfId="1415"/>
    <cellStyle name="_pgvcl-costal_JND-5_T&amp;D July-08" xfId="1416"/>
    <cellStyle name="_pgvcl-costal_JND-5_URBAN WEEKLY PBR CO" xfId="1417"/>
    <cellStyle name="_pgvcl-costal_JND-5_Weekly Urban PBR CO - 06-03-09 to 12-03-09" xfId="1418"/>
    <cellStyle name="_pgvcl-costal_JND-5_Weekly Urban PBR CO - 20-02-09 to 26-02-09" xfId="1419"/>
    <cellStyle name="_pgvcl-costal_JND-5_Weekly Urban PBR CO - 30-01-09 to 05-02-09" xfId="1420"/>
    <cellStyle name="_pgvcl-costal_JND-5_Weekly Urban PBR CO - 9-1-09 to 15.01.09" xfId="1421"/>
    <cellStyle name="_pgvcl-costal_JND-50" xfId="1422"/>
    <cellStyle name="_pgvcl-costal_JND-51" xfId="1423"/>
    <cellStyle name="_pgvcl-costal_JND-51_Book-DMTHL" xfId="1424"/>
    <cellStyle name="_pgvcl-costal_JND-51_Comparison" xfId="1425"/>
    <cellStyle name="_pgvcl-costal_JND-51_Details of Selected Urban Feeder" xfId="1426"/>
    <cellStyle name="_pgvcl-costal_JND-51_DHTHL JAN-09" xfId="1427"/>
    <cellStyle name="_pgvcl-costal_JND-51_dnthl Feb-09" xfId="1428"/>
    <cellStyle name="_pgvcl-costal_JND-51_JGY BM Cross FDR" xfId="1429"/>
    <cellStyle name="_pgvcl-costal_JND-51_JGYssss" xfId="1430"/>
    <cellStyle name="_pgvcl-costal_JND-51_NEWMISFromJNDCircle-DEC07" xfId="1431"/>
    <cellStyle name="_pgvcl-costal_JND-51_PBR" xfId="1432"/>
    <cellStyle name="_pgvcl-costal_JND-51_PBR CO_DAILY REPORT GIS - 20-01-09" xfId="1433"/>
    <cellStyle name="_pgvcl-costal_JND-51_T&amp;D August-08" xfId="1434"/>
    <cellStyle name="_pgvcl-costal_JND-51_T&amp;D Dec-08" xfId="1435"/>
    <cellStyle name="_pgvcl-costal_JND-51_T&amp;D July-08" xfId="1436"/>
    <cellStyle name="_pgvcl-costal_JND-51_URBAN WEEKLY PBR CO" xfId="1437"/>
    <cellStyle name="_pgvcl-costal_JND-51_Weekly Urban PBR CO - 06-03-09 to 12-03-09" xfId="1438"/>
    <cellStyle name="_pgvcl-costal_JND-51_Weekly Urban PBR CO - 20-02-09 to 26-02-09" xfId="1439"/>
    <cellStyle name="_pgvcl-costal_JND-51_Weekly Urban PBR CO - 30-01-09 to 05-02-09" xfId="1440"/>
    <cellStyle name="_pgvcl-costal_JND-51_Weekly Urban PBR CO - 9-1-09 to 15.01.09" xfId="1441"/>
    <cellStyle name="_pgvcl-costal_JND-7" xfId="1442"/>
    <cellStyle name="_pgvcl-costal_JND-7_JGY BM Cross FDR" xfId="1443"/>
    <cellStyle name="_pgvcl-costal_JND-7_JND - 7 T3" xfId="1444"/>
    <cellStyle name="_pgvcl-costal_JND-7_JND - 7 T3_JGY BM Cross FDR" xfId="1445"/>
    <cellStyle name="_pgvcl-costal_Meeting 12.06.08" xfId="1446"/>
    <cellStyle name="_pgvcl-costal_Meeting 12.06.08_JGY BM Cross FDR" xfId="1447"/>
    <cellStyle name="_pgvcl-costal_MIS" xfId="1448"/>
    <cellStyle name="_pgvcl-costal_MIS Dec - 07" xfId="1449"/>
    <cellStyle name="_pgvcl-costal_MIS Dec - 07_03.03.09 Accd, Coastal" xfId="1450"/>
    <cellStyle name="_pgvcl-costal_MIS Dec - 07_Accd &amp; Coastal 24.08.09" xfId="1451"/>
    <cellStyle name="_pgvcl-costal_MIS Dec - 07_Accd MOSE 04.08.09" xfId="1452"/>
    <cellStyle name="_pgvcl-costal_MIS Dec - 07_Accident &amp; Coastal" xfId="1453"/>
    <cellStyle name="_pgvcl-costal_MIS Dec - 07_Bill Pending - SEs Conf. 21.08.08" xfId="1454"/>
    <cellStyle name="_pgvcl-costal_MIS Dec - 07_Bill Pending - SEs Conf. 21.08.08_JGY BM Cross FDR" xfId="1455"/>
    <cellStyle name="_pgvcl-costal_MIS Dec - 07_BOARD 30-03-09" xfId="1456"/>
    <cellStyle name="_pgvcl-costal_MIS Dec - 07_BOARD 30-03-09_JGY BM Cross FDR" xfId="1457"/>
    <cellStyle name="_pgvcl-costal_MIS Dec - 07_Book-DMTHL" xfId="1458"/>
    <cellStyle name="_pgvcl-costal_MIS Dec - 07_Circle wise Coastal" xfId="1459"/>
    <cellStyle name="_pgvcl-costal_MIS Dec - 07_Coastal TS" xfId="1460"/>
    <cellStyle name="_pgvcl-costal_MIS Dec - 07_Comparison" xfId="1461"/>
    <cellStyle name="_pgvcl-costal_MIS Dec - 07_Details of Selected Urban Feeder" xfId="1462"/>
    <cellStyle name="_pgvcl-costal_MIS Dec - 07_DHTHL JAN-09" xfId="1463"/>
    <cellStyle name="_pgvcl-costal_MIS Dec - 07_dnthl Feb-09" xfId="1464"/>
    <cellStyle name="_pgvcl-costal_MIS Dec - 07_HOD 16-04-09 Transformer" xfId="1465"/>
    <cellStyle name="_pgvcl-costal_MIS Dec - 07_HOD 16-04-09 Transformer_JGY BM Cross FDR" xfId="1466"/>
    <cellStyle name="_pgvcl-costal_MIS Dec - 07_JGY BM Cross FDR" xfId="1467"/>
    <cellStyle name="_pgvcl-costal_MIS Dec - 07_JGYssss" xfId="1468"/>
    <cellStyle name="_pgvcl-costal_MIS Dec - 07_JND - 5" xfId="1469"/>
    <cellStyle name="_pgvcl-costal_MIS Dec - 07_JND - 5_03.03.09 Accd, Coastal" xfId="1470"/>
    <cellStyle name="_pgvcl-costal_MIS Dec - 07_JND - 5_Accd &amp; Coastal 24.08.09" xfId="1471"/>
    <cellStyle name="_pgvcl-costal_MIS Dec - 07_JND - 5_Accd MOSE 04.08.09" xfId="1472"/>
    <cellStyle name="_pgvcl-costal_MIS Dec - 07_JND - 5_Accident &amp; Coastal" xfId="1473"/>
    <cellStyle name="_pgvcl-costal_MIS Dec - 07_JND - 5_Bill Pending - SEs Conf. 21.08.08" xfId="1474"/>
    <cellStyle name="_pgvcl-costal_MIS Dec - 07_JND - 5_Bill Pending - SEs Conf. 21.08.08_JGY BM Cross FDR" xfId="1475"/>
    <cellStyle name="_pgvcl-costal_MIS Dec - 07_JND - 5_BOARD 30-03-09" xfId="1476"/>
    <cellStyle name="_pgvcl-costal_MIS Dec - 07_JND - 5_BOARD 30-03-09_JGY BM Cross FDR" xfId="1477"/>
    <cellStyle name="_pgvcl-costal_MIS Dec - 07_JND - 5_Book-DMTHL" xfId="1478"/>
    <cellStyle name="_pgvcl-costal_MIS Dec - 07_JND - 5_Circle wise Coastal" xfId="1479"/>
    <cellStyle name="_pgvcl-costal_MIS Dec - 07_JND - 5_Coastal TS" xfId="1480"/>
    <cellStyle name="_pgvcl-costal_MIS Dec - 07_JND - 5_Comparison" xfId="1481"/>
    <cellStyle name="_pgvcl-costal_MIS Dec - 07_JND - 5_Details of Selected Urban Feeder" xfId="1482"/>
    <cellStyle name="_pgvcl-costal_MIS Dec - 07_JND - 5_DHTHL JAN-09" xfId="1483"/>
    <cellStyle name="_pgvcl-costal_MIS Dec - 07_JND - 5_dnthl Feb-09" xfId="1484"/>
    <cellStyle name="_pgvcl-costal_MIS Dec - 07_JND - 5_HOD 16-04-09 Transformer" xfId="1485"/>
    <cellStyle name="_pgvcl-costal_MIS Dec - 07_JND - 5_HOD 16-04-09 Transformer_JGY BM Cross FDR" xfId="1486"/>
    <cellStyle name="_pgvcl-costal_MIS Dec - 07_JND - 5_JGY BM Cross FDR" xfId="1487"/>
    <cellStyle name="_pgvcl-costal_MIS Dec - 07_JND - 5_JGYssss" xfId="1488"/>
    <cellStyle name="_pgvcl-costal_MIS Dec - 07_JND - 5_Other Points 01.07.09" xfId="1489"/>
    <cellStyle name="_pgvcl-costal_MIS Dec - 07_JND - 5_Other Points 16 04 09" xfId="1490"/>
    <cellStyle name="_pgvcl-costal_MIS Dec - 07_JND - 5_PBR" xfId="1491"/>
    <cellStyle name="_pgvcl-costal_MIS Dec - 07_JND - 5_PBR CO_DAILY REPORT GIS - 20-01-09" xfId="1492"/>
    <cellStyle name="_pgvcl-costal_MIS Dec - 07_JND - 5_point 10 Accd Main file SEs Conf 11.02.08" xfId="1493"/>
    <cellStyle name="_pgvcl-costal_MIS Dec - 07_JND - 5_Point 14.a Transformers Failure" xfId="1494"/>
    <cellStyle name="_pgvcl-costal_MIS Dec - 07_JND - 5_Point 14.a Transformers Failure_JGY BM Cross FDR" xfId="1495"/>
    <cellStyle name="_pgvcl-costal_MIS Dec - 07_JND - 5_point 20. Accident" xfId="1496"/>
    <cellStyle name="_pgvcl-costal_MIS Dec - 07_JND - 5_point 20. Accident_JGY BM Cross FDR" xfId="1497"/>
    <cellStyle name="_pgvcl-costal_MIS Dec - 07_JND - 5_SE 14-05-09" xfId="1498"/>
    <cellStyle name="_pgvcl-costal_MIS Dec - 07_JND - 5_SE 14-05-09_JGY BM Cross FDR" xfId="1499"/>
    <cellStyle name="_pgvcl-costal_MIS Dec - 07_JND - 5_SEs Conf 16 06 09 Tech - 2 details" xfId="1500"/>
    <cellStyle name="_pgvcl-costal_MIS Dec - 07_JND - 5_SEs Conf. 14.12.2008" xfId="1501"/>
    <cellStyle name="_pgvcl-costal_MIS Dec - 07_JND - 5_SEs Conf. 14.12.2008_JGY BM Cross FDR" xfId="1502"/>
    <cellStyle name="_pgvcl-costal_MIS Dec - 07_JND - 5_T&amp;D August-08" xfId="1503"/>
    <cellStyle name="_pgvcl-costal_MIS Dec - 07_JND - 5_T&amp;D Dec-08" xfId="1504"/>
    <cellStyle name="_pgvcl-costal_MIS Dec - 07_JND - 5_T&amp;D July-08" xfId="1505"/>
    <cellStyle name="_pgvcl-costal_MIS Dec - 07_JND - 5_t-2Other Points 14.05.09" xfId="1506"/>
    <cellStyle name="_pgvcl-costal_MIS Dec - 07_JND - 5_TECH-2 SOFT COPY" xfId="1507"/>
    <cellStyle name="_pgvcl-costal_MIS Dec - 07_JND - 5_URBAN WEEKLY PBR CO" xfId="1508"/>
    <cellStyle name="_pgvcl-costal_MIS Dec - 07_JND - 5_Weekly Urban PBR CO - 06-03-09 to 12-03-09" xfId="1509"/>
    <cellStyle name="_pgvcl-costal_MIS Dec - 07_JND - 5_Weekly Urban PBR CO - 20-02-09 to 26-02-09" xfId="1510"/>
    <cellStyle name="_pgvcl-costal_MIS Dec - 07_JND - 5_Weekly Urban PBR CO - 30-01-09 to 05-02-09" xfId="1511"/>
    <cellStyle name="_pgvcl-costal_MIS Dec - 07_JND - 5_Weekly Urban PBR CO - 9-1-09 to 15.01.09" xfId="1512"/>
    <cellStyle name="_pgvcl-costal_MIS Dec - 07_JND - 7 T3" xfId="1513"/>
    <cellStyle name="_pgvcl-costal_MIS Dec - 07_JND T-3 MIS" xfId="1514"/>
    <cellStyle name="_pgvcl-costal_MIS Dec - 07_JND-5 T3" xfId="1515"/>
    <cellStyle name="_pgvcl-costal_MIS Dec - 07_NEW MIS Jan - 08" xfId="1516"/>
    <cellStyle name="_pgvcl-costal_MIS Dec - 07_NEW MIS Jan - 08_Book-DMTHL" xfId="1517"/>
    <cellStyle name="_pgvcl-costal_MIS Dec - 07_NEW MIS Jan - 08_Comparison" xfId="1518"/>
    <cellStyle name="_pgvcl-costal_MIS Dec - 07_NEW MIS Jan - 08_Details of Selected Urban Feeder" xfId="1519"/>
    <cellStyle name="_pgvcl-costal_MIS Dec - 07_NEW MIS Jan - 08_DHTHL JAN-09" xfId="1520"/>
    <cellStyle name="_pgvcl-costal_MIS Dec - 07_NEW MIS Jan - 08_dnthl Feb-09" xfId="1521"/>
    <cellStyle name="_pgvcl-costal_MIS Dec - 07_NEW MIS Jan - 08_JGY BM Cross FDR" xfId="1522"/>
    <cellStyle name="_pgvcl-costal_MIS Dec - 07_NEW MIS Jan - 08_JGYssss" xfId="1523"/>
    <cellStyle name="_pgvcl-costal_MIS Dec - 07_NEW MIS Jan - 08_PBR" xfId="1524"/>
    <cellStyle name="_pgvcl-costal_MIS Dec - 07_NEW MIS Jan - 08_PBR CO_DAILY REPORT GIS - 20-01-09" xfId="1525"/>
    <cellStyle name="_pgvcl-costal_MIS Dec - 07_NEW MIS Jan - 08_T&amp;D August-08" xfId="1526"/>
    <cellStyle name="_pgvcl-costal_MIS Dec - 07_NEW MIS Jan - 08_T&amp;D Dec-08" xfId="1527"/>
    <cellStyle name="_pgvcl-costal_MIS Dec - 07_NEW MIS Jan - 08_T&amp;D July-08" xfId="1528"/>
    <cellStyle name="_pgvcl-costal_MIS Dec - 07_NEW MIS Jan - 08_URBAN WEEKLY PBR CO" xfId="1529"/>
    <cellStyle name="_pgvcl-costal_MIS Dec - 07_NEW MIS Jan - 08_Weekly Urban PBR CO - 06-03-09 to 12-03-09" xfId="1530"/>
    <cellStyle name="_pgvcl-costal_MIS Dec - 07_NEW MIS Jan - 08_Weekly Urban PBR CO - 20-02-09 to 26-02-09" xfId="1531"/>
    <cellStyle name="_pgvcl-costal_MIS Dec - 07_NEW MIS Jan - 08_Weekly Urban PBR CO - 30-01-09 to 05-02-09" xfId="1532"/>
    <cellStyle name="_pgvcl-costal_MIS Dec - 07_NEW MIS Jan - 08_Weekly Urban PBR CO - 9-1-09 to 15.01.09" xfId="1533"/>
    <cellStyle name="_pgvcl-costal_MIS Dec - 07_Other Points 01.07.09" xfId="1534"/>
    <cellStyle name="_pgvcl-costal_MIS Dec - 07_Other Points 16 04 09" xfId="1535"/>
    <cellStyle name="_pgvcl-costal_MIS Dec - 07_PBR" xfId="1536"/>
    <cellStyle name="_pgvcl-costal_MIS Dec - 07_PBR CO_DAILY REPORT GIS - 20-01-09" xfId="1537"/>
    <cellStyle name="_pgvcl-costal_MIS Dec - 07_point 10 Accd Main file SEs Conf 11.02.08" xfId="1538"/>
    <cellStyle name="_pgvcl-costal_MIS Dec - 07_Point 14.a Transformers Failure" xfId="1539"/>
    <cellStyle name="_pgvcl-costal_MIS Dec - 07_Point 14.a Transformers Failure_JGY BM Cross FDR" xfId="1540"/>
    <cellStyle name="_pgvcl-costal_MIS Dec - 07_point 20. Accident" xfId="1541"/>
    <cellStyle name="_pgvcl-costal_MIS Dec - 07_point 20. Accident_JGY BM Cross FDR" xfId="1542"/>
    <cellStyle name="_pgvcl-costal_MIS Dec - 07_SE 14-05-09" xfId="1543"/>
    <cellStyle name="_pgvcl-costal_MIS Dec - 07_SE 14-05-09_JGY BM Cross FDR" xfId="1544"/>
    <cellStyle name="_pgvcl-costal_MIS Dec - 07_SEs Conf 16 06 09 Tech - 2 details" xfId="1545"/>
    <cellStyle name="_pgvcl-costal_MIS Dec - 07_SEs Conf. 14.12.2008" xfId="1546"/>
    <cellStyle name="_pgvcl-costal_MIS Dec - 07_SEs Conf. 14.12.2008_JGY BM Cross FDR" xfId="1547"/>
    <cellStyle name="_pgvcl-costal_MIS Dec - 07_T&amp;D August-08" xfId="1548"/>
    <cellStyle name="_pgvcl-costal_MIS Dec - 07_T&amp;D Dec-08" xfId="1549"/>
    <cellStyle name="_pgvcl-costal_MIS Dec - 07_T&amp;D July-08" xfId="1550"/>
    <cellStyle name="_pgvcl-costal_MIS Dec - 07_t-2Other Points 14.05.09" xfId="1551"/>
    <cellStyle name="_pgvcl-costal_MIS Dec - 07_TECH-2 SOFT COPY" xfId="1552"/>
    <cellStyle name="_pgvcl-costal_MIS Dec - 07_URBAN WEEKLY PBR CO" xfId="1553"/>
    <cellStyle name="_pgvcl-costal_MIS Dec - 07_Weekly Urban PBR CO - 06-03-09 to 12-03-09" xfId="1554"/>
    <cellStyle name="_pgvcl-costal_MIS Dec - 07_Weekly Urban PBR CO - 20-02-09 to 26-02-09" xfId="1555"/>
    <cellStyle name="_pgvcl-costal_MIS Dec - 07_Weekly Urban PBR CO - 30-01-09 to 05-02-09" xfId="1556"/>
    <cellStyle name="_pgvcl-costal_MIS Dec - 07_Weekly Urban PBR CO - 9-1-09 to 15.01.09" xfId="1557"/>
    <cellStyle name="_pgvcl-costal_MIS Jan - 08" xfId="1558"/>
    <cellStyle name="_pgvcl-costal_MIS Jan - 08_Book-DMTHL" xfId="1559"/>
    <cellStyle name="_pgvcl-costal_MIS Jan - 08_Comparison" xfId="1560"/>
    <cellStyle name="_pgvcl-costal_MIS Jan - 08_Details of Selected Urban Feeder" xfId="1561"/>
    <cellStyle name="_pgvcl-costal_MIS Jan - 08_DHTHL JAN-09" xfId="1562"/>
    <cellStyle name="_pgvcl-costal_MIS Jan - 08_dnthl Feb-09" xfId="1563"/>
    <cellStyle name="_pgvcl-costal_MIS Jan - 08_JGY BM Cross FDR" xfId="1564"/>
    <cellStyle name="_pgvcl-costal_MIS Jan - 08_JGYssss" xfId="1565"/>
    <cellStyle name="_pgvcl-costal_MIS Jan - 08_JND - 5" xfId="1566"/>
    <cellStyle name="_pgvcl-costal_MIS Jan - 08_JND - 5_Book-DMTHL" xfId="1567"/>
    <cellStyle name="_pgvcl-costal_MIS Jan - 08_JND - 5_Comparison" xfId="1568"/>
    <cellStyle name="_pgvcl-costal_MIS Jan - 08_JND - 5_Details of Selected Urban Feeder" xfId="1569"/>
    <cellStyle name="_pgvcl-costal_MIS Jan - 08_JND - 5_DHTHL JAN-09" xfId="1570"/>
    <cellStyle name="_pgvcl-costal_MIS Jan - 08_JND - 5_dnthl Feb-09" xfId="1571"/>
    <cellStyle name="_pgvcl-costal_MIS Jan - 08_JND - 5_JGY BM Cross FDR" xfId="1572"/>
    <cellStyle name="_pgvcl-costal_MIS Jan - 08_JND - 5_JGYssss" xfId="1573"/>
    <cellStyle name="_pgvcl-costal_MIS Jan - 08_JND - 5_PBR" xfId="1574"/>
    <cellStyle name="_pgvcl-costal_MIS Jan - 08_JND - 5_PBR CO_DAILY REPORT GIS - 20-01-09" xfId="1575"/>
    <cellStyle name="_pgvcl-costal_MIS Jan - 08_JND - 5_T&amp;D August-08" xfId="1576"/>
    <cellStyle name="_pgvcl-costal_MIS Jan - 08_JND - 5_T&amp;D Dec-08" xfId="1577"/>
    <cellStyle name="_pgvcl-costal_MIS Jan - 08_JND - 5_T&amp;D July-08" xfId="1578"/>
    <cellStyle name="_pgvcl-costal_MIS Jan - 08_JND - 5_URBAN WEEKLY PBR CO" xfId="1579"/>
    <cellStyle name="_pgvcl-costal_MIS Jan - 08_JND - 5_Weekly Urban PBR CO - 06-03-09 to 12-03-09" xfId="1580"/>
    <cellStyle name="_pgvcl-costal_MIS Jan - 08_JND - 5_Weekly Urban PBR CO - 20-02-09 to 26-02-09" xfId="1581"/>
    <cellStyle name="_pgvcl-costal_MIS Jan - 08_JND - 5_Weekly Urban PBR CO - 30-01-09 to 05-02-09" xfId="1582"/>
    <cellStyle name="_pgvcl-costal_MIS Jan - 08_JND - 5_Weekly Urban PBR CO - 9-1-09 to 15.01.09" xfId="1583"/>
    <cellStyle name="_pgvcl-costal_MIS Jan - 08_NEW MIS Jan - 08" xfId="1584"/>
    <cellStyle name="_pgvcl-costal_MIS Jan - 08_NEW MIS Jan - 08_Book-DMTHL" xfId="1585"/>
    <cellStyle name="_pgvcl-costal_MIS Jan - 08_NEW MIS Jan - 08_Comparison" xfId="1586"/>
    <cellStyle name="_pgvcl-costal_MIS Jan - 08_NEW MIS Jan - 08_Details of Selected Urban Feeder" xfId="1587"/>
    <cellStyle name="_pgvcl-costal_MIS Jan - 08_NEW MIS Jan - 08_DHTHL JAN-09" xfId="1588"/>
    <cellStyle name="_pgvcl-costal_MIS Jan - 08_NEW MIS Jan - 08_dnthl Feb-09" xfId="1589"/>
    <cellStyle name="_pgvcl-costal_MIS Jan - 08_NEW MIS Jan - 08_JGY BM Cross FDR" xfId="1590"/>
    <cellStyle name="_pgvcl-costal_MIS Jan - 08_NEW MIS Jan - 08_JGYssss" xfId="1591"/>
    <cellStyle name="_pgvcl-costal_MIS Jan - 08_NEW MIS Jan - 08_PBR" xfId="1592"/>
    <cellStyle name="_pgvcl-costal_MIS Jan - 08_NEW MIS Jan - 08_PBR CO_DAILY REPORT GIS - 20-01-09" xfId="1593"/>
    <cellStyle name="_pgvcl-costal_MIS Jan - 08_NEW MIS Jan - 08_T&amp;D August-08" xfId="1594"/>
    <cellStyle name="_pgvcl-costal_MIS Jan - 08_NEW MIS Jan - 08_T&amp;D Dec-08" xfId="1595"/>
    <cellStyle name="_pgvcl-costal_MIS Jan - 08_NEW MIS Jan - 08_T&amp;D July-08" xfId="1596"/>
    <cellStyle name="_pgvcl-costal_MIS Jan - 08_NEW MIS Jan - 08_URBAN WEEKLY PBR CO" xfId="1597"/>
    <cellStyle name="_pgvcl-costal_MIS Jan - 08_NEW MIS Jan - 08_Weekly Urban PBR CO - 06-03-09 to 12-03-09" xfId="1598"/>
    <cellStyle name="_pgvcl-costal_MIS Jan - 08_NEW MIS Jan - 08_Weekly Urban PBR CO - 20-02-09 to 26-02-09" xfId="1599"/>
    <cellStyle name="_pgvcl-costal_MIS Jan - 08_NEW MIS Jan - 08_Weekly Urban PBR CO - 30-01-09 to 05-02-09" xfId="1600"/>
    <cellStyle name="_pgvcl-costal_MIS Jan - 08_NEW MIS Jan - 08_Weekly Urban PBR CO - 9-1-09 to 15.01.09" xfId="1601"/>
    <cellStyle name="_pgvcl-costal_MIS Jan - 08_PBR" xfId="1602"/>
    <cellStyle name="_pgvcl-costal_MIS Jan - 08_PBR CO_DAILY REPORT GIS - 20-01-09" xfId="1603"/>
    <cellStyle name="_pgvcl-costal_MIS Jan - 08_T&amp;D August-08" xfId="1604"/>
    <cellStyle name="_pgvcl-costal_MIS Jan - 08_T&amp;D Dec-08" xfId="1605"/>
    <cellStyle name="_pgvcl-costal_MIS Jan - 08_T&amp;D July-08" xfId="1606"/>
    <cellStyle name="_pgvcl-costal_MIS Jan - 08_URBAN WEEKLY PBR CO" xfId="1607"/>
    <cellStyle name="_pgvcl-costal_MIS Jan - 08_Weekly Urban PBR CO - 06-03-09 to 12-03-09" xfId="1608"/>
    <cellStyle name="_pgvcl-costal_MIS Jan - 08_Weekly Urban PBR CO - 20-02-09 to 26-02-09" xfId="1609"/>
    <cellStyle name="_pgvcl-costal_MIS Jan - 08_Weekly Urban PBR CO - 30-01-09 to 05-02-09" xfId="1610"/>
    <cellStyle name="_pgvcl-costal_MIS Jan - 08_Weekly Urban PBR CO - 9-1-09 to 15.01.09" xfId="1611"/>
    <cellStyle name="_pgvcl-costal_MIS Nov - 07" xfId="1612"/>
    <cellStyle name="_pgvcl-costal_MIS Summary Jan-08" xfId="1613"/>
    <cellStyle name="_pgvcl-costal_MIS Summary Jan-08_Book-DMTHL" xfId="1614"/>
    <cellStyle name="_pgvcl-costal_MIS Summary Jan-08_Comparison" xfId="1615"/>
    <cellStyle name="_pgvcl-costal_MIS Summary Jan-08_Details of Selected Urban Feeder" xfId="1616"/>
    <cellStyle name="_pgvcl-costal_MIS Summary Jan-08_DHTHL JAN-09" xfId="1617"/>
    <cellStyle name="_pgvcl-costal_MIS Summary Jan-08_dnthl Feb-09" xfId="1618"/>
    <cellStyle name="_pgvcl-costal_MIS Summary Jan-08_JGY BM Cross FDR" xfId="1619"/>
    <cellStyle name="_pgvcl-costal_MIS Summary Jan-08_JGYssss" xfId="1620"/>
    <cellStyle name="_pgvcl-costal_MIS Summary Jan-08_PBR" xfId="1621"/>
    <cellStyle name="_pgvcl-costal_MIS Summary Jan-08_PBR CO_DAILY REPORT GIS - 20-01-09" xfId="1622"/>
    <cellStyle name="_pgvcl-costal_MIS Summary Jan-08_T&amp;D August-08" xfId="1623"/>
    <cellStyle name="_pgvcl-costal_MIS Summary Jan-08_T&amp;D Dec-08" xfId="1624"/>
    <cellStyle name="_pgvcl-costal_MIS Summary Jan-08_T&amp;D July-08" xfId="1625"/>
    <cellStyle name="_pgvcl-costal_MIS Summary Jan-08_URBAN WEEKLY PBR CO" xfId="1626"/>
    <cellStyle name="_pgvcl-costal_MIS Summary Jan-08_Weekly Urban PBR CO - 06-03-09 to 12-03-09" xfId="1627"/>
    <cellStyle name="_pgvcl-costal_MIS Summary Jan-08_Weekly Urban PBR CO - 20-02-09 to 26-02-09" xfId="1628"/>
    <cellStyle name="_pgvcl-costal_MIS Summary Jan-08_Weekly Urban PBR CO - 30-01-09 to 05-02-09" xfId="1629"/>
    <cellStyle name="_pgvcl-costal_MIS Summary Jan-08_Weekly Urban PBR CO - 9-1-09 to 15.01.09" xfId="1630"/>
    <cellStyle name="_pgvcl-costal_MIS_03.03.09 Accd, Coastal" xfId="1631"/>
    <cellStyle name="_pgvcl-costal_MIS_Accd &amp; Coastal 24.08.09" xfId="1632"/>
    <cellStyle name="_pgvcl-costal_MIS_Accd MOSE 04.08.09" xfId="1633"/>
    <cellStyle name="_pgvcl-costal_MIS_Accident &amp; Coastal" xfId="1634"/>
    <cellStyle name="_pgvcl-costal_MIS_Bill Pending - SEs Conf. 21.08.08" xfId="1635"/>
    <cellStyle name="_pgvcl-costal_MIS_Bill Pending - SEs Conf. 21.08.08_JGY BM Cross FDR" xfId="1636"/>
    <cellStyle name="_pgvcl-costal_MIS_BOARD 30-03-09" xfId="1637"/>
    <cellStyle name="_pgvcl-costal_MIS_BOARD 30-03-09_JGY BM Cross FDR" xfId="1638"/>
    <cellStyle name="_pgvcl-costal_MIS_Book-DMTHL" xfId="1639"/>
    <cellStyle name="_pgvcl-costal_MIS_Circle wise Coastal" xfId="1640"/>
    <cellStyle name="_pgvcl-costal_MIS_Coastal TS" xfId="1641"/>
    <cellStyle name="_pgvcl-costal_MIS_Comparison" xfId="1642"/>
    <cellStyle name="_pgvcl-costal_MIS_Details of Selected Urban Feeder" xfId="1643"/>
    <cellStyle name="_pgvcl-costal_MIS_DHTHL JAN-09" xfId="1644"/>
    <cellStyle name="_pgvcl-costal_MIS_dnthl Feb-09" xfId="1645"/>
    <cellStyle name="_pgvcl-costal_MIS_HOD 16-04-09 Transformer" xfId="1646"/>
    <cellStyle name="_pgvcl-costal_MIS_HOD 16-04-09 Transformer_JGY BM Cross FDR" xfId="1647"/>
    <cellStyle name="_pgvcl-costal_MIS_JGY BM Cross FDR" xfId="1648"/>
    <cellStyle name="_pgvcl-costal_MIS_JGYssss" xfId="1649"/>
    <cellStyle name="_pgvcl-costal_MIS_JND - 5" xfId="1650"/>
    <cellStyle name="_pgvcl-costal_MIS_JND - 5_03.03.09 Accd, Coastal" xfId="1651"/>
    <cellStyle name="_pgvcl-costal_MIS_JND - 5_Accd &amp; Coastal 24.08.09" xfId="1652"/>
    <cellStyle name="_pgvcl-costal_MIS_JND - 5_Accd MOSE 04.08.09" xfId="1653"/>
    <cellStyle name="_pgvcl-costal_MIS_JND - 5_Accident &amp; Coastal" xfId="1654"/>
    <cellStyle name="_pgvcl-costal_MIS_JND - 5_Bill Pending - SEs Conf. 21.08.08" xfId="1655"/>
    <cellStyle name="_pgvcl-costal_MIS_JND - 5_Bill Pending - SEs Conf. 21.08.08_JGY BM Cross FDR" xfId="1656"/>
    <cellStyle name="_pgvcl-costal_MIS_JND - 5_BOARD 30-03-09" xfId="1657"/>
    <cellStyle name="_pgvcl-costal_MIS_JND - 5_BOARD 30-03-09_JGY BM Cross FDR" xfId="1658"/>
    <cellStyle name="_pgvcl-costal_MIS_JND - 5_Book-DMTHL" xfId="1659"/>
    <cellStyle name="_pgvcl-costal_MIS_JND - 5_Circle wise Coastal" xfId="1660"/>
    <cellStyle name="_pgvcl-costal_MIS_JND - 5_Coastal TS" xfId="1661"/>
    <cellStyle name="_pgvcl-costal_MIS_JND - 5_Comparison" xfId="1662"/>
    <cellStyle name="_pgvcl-costal_MIS_JND - 5_Details of Selected Urban Feeder" xfId="1663"/>
    <cellStyle name="_pgvcl-costal_MIS_JND - 5_DHTHL JAN-09" xfId="1664"/>
    <cellStyle name="_pgvcl-costal_MIS_JND - 5_dnthl Feb-09" xfId="1665"/>
    <cellStyle name="_pgvcl-costal_MIS_JND - 5_HOD 16-04-09 Transformer" xfId="1666"/>
    <cellStyle name="_pgvcl-costal_MIS_JND - 5_HOD 16-04-09 Transformer_JGY BM Cross FDR" xfId="1667"/>
    <cellStyle name="_pgvcl-costal_MIS_JND - 5_JGY BM Cross FDR" xfId="1668"/>
    <cellStyle name="_pgvcl-costal_MIS_JND - 5_JGYssss" xfId="1669"/>
    <cellStyle name="_pgvcl-costal_MIS_JND - 5_Other Points 01.07.09" xfId="1670"/>
    <cellStyle name="_pgvcl-costal_MIS_JND - 5_Other Points 16 04 09" xfId="1671"/>
    <cellStyle name="_pgvcl-costal_MIS_JND - 5_PBR" xfId="1672"/>
    <cellStyle name="_pgvcl-costal_MIS_JND - 5_PBR CO_DAILY REPORT GIS - 20-01-09" xfId="1673"/>
    <cellStyle name="_pgvcl-costal_MIS_JND - 5_point 10 Accd Main file SEs Conf 11.02.08" xfId="1674"/>
    <cellStyle name="_pgvcl-costal_MIS_JND - 5_Point 14.a Transformers Failure" xfId="1675"/>
    <cellStyle name="_pgvcl-costal_MIS_JND - 5_Point 14.a Transformers Failure_JGY BM Cross FDR" xfId="1676"/>
    <cellStyle name="_pgvcl-costal_MIS_JND - 5_point 20. Accident" xfId="1677"/>
    <cellStyle name="_pgvcl-costal_MIS_JND - 5_point 20. Accident_JGY BM Cross FDR" xfId="1678"/>
    <cellStyle name="_pgvcl-costal_MIS_JND - 5_SE 14-05-09" xfId="1679"/>
    <cellStyle name="_pgvcl-costal_MIS_JND - 5_SE 14-05-09_JGY BM Cross FDR" xfId="1680"/>
    <cellStyle name="_pgvcl-costal_MIS_JND - 5_SEs Conf 16 06 09 Tech - 2 details" xfId="1681"/>
    <cellStyle name="_pgvcl-costal_MIS_JND - 5_SEs Conf. 14.12.2008" xfId="1682"/>
    <cellStyle name="_pgvcl-costal_MIS_JND - 5_SEs Conf. 14.12.2008_JGY BM Cross FDR" xfId="1683"/>
    <cellStyle name="_pgvcl-costal_MIS_JND - 5_T&amp;D August-08" xfId="1684"/>
    <cellStyle name="_pgvcl-costal_MIS_JND - 5_T&amp;D Dec-08" xfId="1685"/>
    <cellStyle name="_pgvcl-costal_MIS_JND - 5_T&amp;D July-08" xfId="1686"/>
    <cellStyle name="_pgvcl-costal_MIS_JND - 5_t-2Other Points 14.05.09" xfId="1687"/>
    <cellStyle name="_pgvcl-costal_MIS_JND - 5_TECH-2 SOFT COPY" xfId="1688"/>
    <cellStyle name="_pgvcl-costal_MIS_JND - 5_URBAN WEEKLY PBR CO" xfId="1689"/>
    <cellStyle name="_pgvcl-costal_MIS_JND - 5_Weekly Urban PBR CO - 06-03-09 to 12-03-09" xfId="1690"/>
    <cellStyle name="_pgvcl-costal_MIS_JND - 5_Weekly Urban PBR CO - 20-02-09 to 26-02-09" xfId="1691"/>
    <cellStyle name="_pgvcl-costal_MIS_JND - 5_Weekly Urban PBR CO - 30-01-09 to 05-02-09" xfId="1692"/>
    <cellStyle name="_pgvcl-costal_MIS_JND - 5_Weekly Urban PBR CO - 9-1-09 to 15.01.09" xfId="1693"/>
    <cellStyle name="_pgvcl-costal_MIS_JND - 7 T3" xfId="1694"/>
    <cellStyle name="_pgvcl-costal_MIS_JND T-3 MIS" xfId="1695"/>
    <cellStyle name="_pgvcl-costal_MIS_JND-5 T3" xfId="1696"/>
    <cellStyle name="_pgvcl-costal_MIS_NEW MIS Jan - 08" xfId="1697"/>
    <cellStyle name="_pgvcl-costal_MIS_NEW MIS Jan - 08_Book-DMTHL" xfId="1698"/>
    <cellStyle name="_pgvcl-costal_MIS_NEW MIS Jan - 08_Comparison" xfId="1699"/>
    <cellStyle name="_pgvcl-costal_MIS_NEW MIS Jan - 08_Details of Selected Urban Feeder" xfId="1700"/>
    <cellStyle name="_pgvcl-costal_MIS_NEW MIS Jan - 08_DHTHL JAN-09" xfId="1701"/>
    <cellStyle name="_pgvcl-costal_MIS_NEW MIS Jan - 08_dnthl Feb-09" xfId="1702"/>
    <cellStyle name="_pgvcl-costal_MIS_NEW MIS Jan - 08_JGY BM Cross FDR" xfId="1703"/>
    <cellStyle name="_pgvcl-costal_MIS_NEW MIS Jan - 08_JGYssss" xfId="1704"/>
    <cellStyle name="_pgvcl-costal_MIS_NEW MIS Jan - 08_PBR" xfId="1705"/>
    <cellStyle name="_pgvcl-costal_MIS_NEW MIS Jan - 08_PBR CO_DAILY REPORT GIS - 20-01-09" xfId="1706"/>
    <cellStyle name="_pgvcl-costal_MIS_NEW MIS Jan - 08_T&amp;D August-08" xfId="1707"/>
    <cellStyle name="_pgvcl-costal_MIS_NEW MIS Jan - 08_T&amp;D Dec-08" xfId="1708"/>
    <cellStyle name="_pgvcl-costal_MIS_NEW MIS Jan - 08_T&amp;D July-08" xfId="1709"/>
    <cellStyle name="_pgvcl-costal_MIS_NEW MIS Jan - 08_URBAN WEEKLY PBR CO" xfId="1710"/>
    <cellStyle name="_pgvcl-costal_MIS_NEW MIS Jan - 08_Weekly Urban PBR CO - 06-03-09 to 12-03-09" xfId="1711"/>
    <cellStyle name="_pgvcl-costal_MIS_NEW MIS Jan - 08_Weekly Urban PBR CO - 20-02-09 to 26-02-09" xfId="1712"/>
    <cellStyle name="_pgvcl-costal_MIS_NEW MIS Jan - 08_Weekly Urban PBR CO - 30-01-09 to 05-02-09" xfId="1713"/>
    <cellStyle name="_pgvcl-costal_MIS_NEW MIS Jan - 08_Weekly Urban PBR CO - 9-1-09 to 15.01.09" xfId="1714"/>
    <cellStyle name="_pgvcl-costal_MIS_Other Points 01.07.09" xfId="1715"/>
    <cellStyle name="_pgvcl-costal_MIS_Other Points 16 04 09" xfId="1716"/>
    <cellStyle name="_pgvcl-costal_MIS_PBR" xfId="1717"/>
    <cellStyle name="_pgvcl-costal_MIS_PBR CO_DAILY REPORT GIS - 20-01-09" xfId="1718"/>
    <cellStyle name="_pgvcl-costal_MIS_point 10 Accd Main file SEs Conf 11.02.08" xfId="1719"/>
    <cellStyle name="_pgvcl-costal_MIS_Point 14.a Transformers Failure" xfId="1720"/>
    <cellStyle name="_pgvcl-costal_MIS_Point 14.a Transformers Failure_JGY BM Cross FDR" xfId="1721"/>
    <cellStyle name="_pgvcl-costal_MIS_point 20. Accident" xfId="1722"/>
    <cellStyle name="_pgvcl-costal_MIS_point 20. Accident_JGY BM Cross FDR" xfId="1723"/>
    <cellStyle name="_pgvcl-costal_MIS_SE 14-05-09" xfId="1724"/>
    <cellStyle name="_pgvcl-costal_MIS_SE 14-05-09_JGY BM Cross FDR" xfId="1725"/>
    <cellStyle name="_pgvcl-costal_MIS_SEs Conf 16 06 09 Tech - 2 details" xfId="1726"/>
    <cellStyle name="_pgvcl-costal_MIS_SEs Conf. 14.12.2008" xfId="1727"/>
    <cellStyle name="_pgvcl-costal_MIS_SEs Conf. 14.12.2008_JGY BM Cross FDR" xfId="1728"/>
    <cellStyle name="_pgvcl-costal_MIS_T&amp;D August-08" xfId="1729"/>
    <cellStyle name="_pgvcl-costal_MIS_T&amp;D Dec-08" xfId="1730"/>
    <cellStyle name="_pgvcl-costal_MIS_T&amp;D July-08" xfId="1731"/>
    <cellStyle name="_pgvcl-costal_MIS_t-2Other Points 14.05.09" xfId="1732"/>
    <cellStyle name="_pgvcl-costal_MIS_TECH-2 SOFT COPY" xfId="1733"/>
    <cellStyle name="_pgvcl-costal_MIS_URBAN WEEKLY PBR CO" xfId="1734"/>
    <cellStyle name="_pgvcl-costal_MIS_Weekly Urban PBR CO - 06-03-09 to 12-03-09" xfId="1735"/>
    <cellStyle name="_pgvcl-costal_MIS_Weekly Urban PBR CO - 20-02-09 to 26-02-09" xfId="1736"/>
    <cellStyle name="_pgvcl-costal_MIS_Weekly Urban PBR CO - 30-01-09 to 05-02-09" xfId="1737"/>
    <cellStyle name="_pgvcl-costal_MIS_Weekly Urban PBR CO - 9-1-09 to 15.01.09" xfId="1738"/>
    <cellStyle name="_pgvcl-costal_NEW MIS From JND Circle" xfId="1739"/>
    <cellStyle name="_pgvcl-costal_NEW MIS From JND Circle_Book-DMTHL" xfId="1740"/>
    <cellStyle name="_pgvcl-costal_NEW MIS From JND Circle_Comparison" xfId="1741"/>
    <cellStyle name="_pgvcl-costal_NEW MIS From JND Circle_Details of Selected Urban Feeder" xfId="1742"/>
    <cellStyle name="_pgvcl-costal_NEW MIS From JND Circle_DHTHL JAN-09" xfId="1743"/>
    <cellStyle name="_pgvcl-costal_NEW MIS From JND Circle_dnthl Feb-09" xfId="1744"/>
    <cellStyle name="_pgvcl-costal_NEW MIS From JND Circle_JGY BM Cross FDR" xfId="1745"/>
    <cellStyle name="_pgvcl-costal_NEW MIS From JND Circle_JGYssss" xfId="1746"/>
    <cellStyle name="_pgvcl-costal_NEW MIS From JND Circle_PBR" xfId="1747"/>
    <cellStyle name="_pgvcl-costal_NEW MIS From JND Circle_PBR CO_DAILY REPORT GIS - 20-01-09" xfId="1748"/>
    <cellStyle name="_pgvcl-costal_NEW MIS From JND Circle_T&amp;D August-08" xfId="1749"/>
    <cellStyle name="_pgvcl-costal_NEW MIS From JND Circle_T&amp;D Dec-08" xfId="1750"/>
    <cellStyle name="_pgvcl-costal_NEW MIS From JND Circle_T&amp;D July-08" xfId="1751"/>
    <cellStyle name="_pgvcl-costal_NEW MIS From JND Circle_URBAN WEEKLY PBR CO" xfId="1752"/>
    <cellStyle name="_pgvcl-costal_NEW MIS From JND Circle_Weekly Urban PBR CO - 06-03-09 to 12-03-09" xfId="1753"/>
    <cellStyle name="_pgvcl-costal_NEW MIS From JND Circle_Weekly Urban PBR CO - 20-02-09 to 26-02-09" xfId="1754"/>
    <cellStyle name="_pgvcl-costal_NEW MIS From JND Circle_Weekly Urban PBR CO - 30-01-09 to 05-02-09" xfId="1755"/>
    <cellStyle name="_pgvcl-costal_NEW MIS From JND Circle_Weekly Urban PBR CO - 9-1-09 to 15.01.09" xfId="1756"/>
    <cellStyle name="_pgvcl-costal_NEW MIS Jan - 08" xfId="1757"/>
    <cellStyle name="_pgvcl-costal_NEW MIS Jan - 08_Book-DMTHL" xfId="1758"/>
    <cellStyle name="_pgvcl-costal_NEW MIS Jan - 08_Comparison" xfId="1759"/>
    <cellStyle name="_pgvcl-costal_NEW MIS Jan - 08_Details of Selected Urban Feeder" xfId="1760"/>
    <cellStyle name="_pgvcl-costal_NEW MIS Jan - 08_DHTHL JAN-09" xfId="1761"/>
    <cellStyle name="_pgvcl-costal_NEW MIS Jan - 08_dnthl Feb-09" xfId="1762"/>
    <cellStyle name="_pgvcl-costal_NEW MIS Jan - 08_JGY BM Cross FDR" xfId="1763"/>
    <cellStyle name="_pgvcl-costal_NEW MIS Jan - 08_JGYssss" xfId="1764"/>
    <cellStyle name="_pgvcl-costal_NEW MIS Jan - 08_PBR" xfId="1765"/>
    <cellStyle name="_pgvcl-costal_NEW MIS Jan - 08_PBR CO_DAILY REPORT GIS - 20-01-09" xfId="1766"/>
    <cellStyle name="_pgvcl-costal_NEW MIS Jan - 08_T&amp;D August-08" xfId="1767"/>
    <cellStyle name="_pgvcl-costal_NEW MIS Jan - 08_T&amp;D Dec-08" xfId="1768"/>
    <cellStyle name="_pgvcl-costal_NEW MIS Jan - 08_T&amp;D July-08" xfId="1769"/>
    <cellStyle name="_pgvcl-costal_NEW MIS Jan - 08_URBAN WEEKLY PBR CO" xfId="1770"/>
    <cellStyle name="_pgvcl-costal_NEW MIS Jan - 08_Weekly Urban PBR CO - 06-03-09 to 12-03-09" xfId="1771"/>
    <cellStyle name="_pgvcl-costal_NEW MIS Jan - 08_Weekly Urban PBR CO - 20-02-09 to 26-02-09" xfId="1772"/>
    <cellStyle name="_pgvcl-costal_NEW MIS Jan - 08_Weekly Urban PBR CO - 30-01-09 to 05-02-09" xfId="1773"/>
    <cellStyle name="_pgvcl-costal_NEW MIS Jan - 08_Weekly Urban PBR CO - 9-1-09 to 15.01.09" xfId="1774"/>
    <cellStyle name="_pgvcl-costal_NEWMISFromJNDCircle-DEC07" xfId="1775"/>
    <cellStyle name="_pgvcl-costal_Other Points 01.07.09" xfId="1776"/>
    <cellStyle name="_pgvcl-costal_PBR" xfId="1777"/>
    <cellStyle name="_pgvcl-costal_PBR CO_DAILY REPORT GIS - 20-01-09" xfId="1778"/>
    <cellStyle name="_pgvcl-costal_PBR-7" xfId="1779"/>
    <cellStyle name="_pgvcl-costal_pgvcl" xfId="1780"/>
    <cellStyle name="_pgvcl-costal_PGVCL-" xfId="1781"/>
    <cellStyle name="_pgvcl-costal_PGVCL- 5-VAL" xfId="1782"/>
    <cellStyle name="_pgvcl-costal_PGVCL- 5-VAL_JGY BM Cross FDR" xfId="1783"/>
    <cellStyle name="_pgvcl-costal_PGVCL_1" xfId="1784"/>
    <cellStyle name="_pgvcl-costal_PGVCL_1_JGY BM Cross FDR" xfId="1785"/>
    <cellStyle name="_pgvcl-costal_pgvcl_Accident - 2007-08 + 2008-09 -- 15.12.08" xfId="1786"/>
    <cellStyle name="_pgvcl-costal_PGVCL-_Accident - 2007-08 + 2008-09 -- 15.12.08" xfId="1787"/>
    <cellStyle name="_pgvcl-costal_pgvcl_Accident S-dn wise up to Nov. 08 for SE's Conference" xfId="1788"/>
    <cellStyle name="_pgvcl-costal_PGVCL-_Accident S-dn wise up to Nov. 08 for SE's Conference" xfId="1789"/>
    <cellStyle name="_pgvcl-costal_pgvcl_AG TC METER " xfId="1790"/>
    <cellStyle name="_pgvcl-costal_PGVCL-_AG TC METER " xfId="1791"/>
    <cellStyle name="_pgvcl-costal_pgvcl_AG TC METER _Book-DMTHL" xfId="1792"/>
    <cellStyle name="_pgvcl-costal_PGVCL-_AG TC METER _Book-DMTHL" xfId="1793"/>
    <cellStyle name="_pgvcl-costal_pgvcl_AG TC METER _Comparison" xfId="1794"/>
    <cellStyle name="_pgvcl-costal_PGVCL-_AG TC METER _Comparison" xfId="1795"/>
    <cellStyle name="_pgvcl-costal_pgvcl_AG TC METER _Details of Selected Urban Feeder" xfId="1796"/>
    <cellStyle name="_pgvcl-costal_PGVCL-_AG TC METER _Details of Selected Urban Feeder" xfId="1797"/>
    <cellStyle name="_pgvcl-costal_pgvcl_AG TC METER _DHTHL JAN-09" xfId="1798"/>
    <cellStyle name="_pgvcl-costal_PGVCL-_AG TC METER _DHTHL JAN-09" xfId="1799"/>
    <cellStyle name="_pgvcl-costal_pgvcl_AG TC METER _dnthl Feb-09" xfId="1800"/>
    <cellStyle name="_pgvcl-costal_PGVCL-_AG TC METER _dnthl Feb-09" xfId="1801"/>
    <cellStyle name="_pgvcl-costal_pgvcl_AG TC METER _JGY BM Cross FDR" xfId="1802"/>
    <cellStyle name="_pgvcl-costal_PGVCL-_AG TC METER _JGY BM Cross FDR" xfId="1803"/>
    <cellStyle name="_pgvcl-costal_pgvcl_AG TC METER _JGYssss" xfId="1804"/>
    <cellStyle name="_pgvcl-costal_PGVCL-_AG TC METER _JGYssss" xfId="1805"/>
    <cellStyle name="_pgvcl-costal_pgvcl_AG TC METER _PBR" xfId="1806"/>
    <cellStyle name="_pgvcl-costal_PGVCL-_AG TC METER _PBR" xfId="1807"/>
    <cellStyle name="_pgvcl-costal_pgvcl_AG TC METER _PBR CO_DAILY REPORT GIS - 20-01-09" xfId="1808"/>
    <cellStyle name="_pgvcl-costal_PGVCL-_AG TC METER _PBR CO_DAILY REPORT GIS - 20-01-09" xfId="1809"/>
    <cellStyle name="_pgvcl-costal_pgvcl_AG TC METER _T&amp;D August-08" xfId="1810"/>
    <cellStyle name="_pgvcl-costal_PGVCL-_AG TC METER _T&amp;D August-08" xfId="1811"/>
    <cellStyle name="_pgvcl-costal_pgvcl_AG TC METER _T&amp;D Dec-08" xfId="1812"/>
    <cellStyle name="_pgvcl-costal_PGVCL-_AG TC METER _T&amp;D Dec-08" xfId="1813"/>
    <cellStyle name="_pgvcl-costal_pgvcl_AG TC METER _T&amp;D July-08" xfId="1814"/>
    <cellStyle name="_pgvcl-costal_PGVCL-_AG TC METER _T&amp;D July-08" xfId="1815"/>
    <cellStyle name="_pgvcl-costal_pgvcl_AG TC METER _URBAN WEEKLY PBR CO" xfId="1816"/>
    <cellStyle name="_pgvcl-costal_PGVCL-_AG TC METER _URBAN WEEKLY PBR CO" xfId="1817"/>
    <cellStyle name="_pgvcl-costal_pgvcl_AG TC METER _Weekly Urban PBR CO - 06-03-09 to 12-03-09" xfId="1818"/>
    <cellStyle name="_pgvcl-costal_PGVCL-_AG TC METER _Weekly Urban PBR CO - 06-03-09 to 12-03-09" xfId="1819"/>
    <cellStyle name="_pgvcl-costal_pgvcl_AG TC METER _Weekly Urban PBR CO - 20-02-09 to 26-02-09" xfId="1820"/>
    <cellStyle name="_pgvcl-costal_PGVCL-_AG TC METER _Weekly Urban PBR CO - 20-02-09 to 26-02-09" xfId="1821"/>
    <cellStyle name="_pgvcl-costal_pgvcl_AG TC METER _Weekly Urban PBR CO - 30-01-09 to 05-02-09" xfId="1822"/>
    <cellStyle name="_pgvcl-costal_PGVCL-_AG TC METER _Weekly Urban PBR CO - 30-01-09 to 05-02-09" xfId="1823"/>
    <cellStyle name="_pgvcl-costal_pgvcl_AG TC METER _Weekly Urban PBR CO - 9-1-09 to 15.01.09" xfId="1824"/>
    <cellStyle name="_pgvcl-costal_PGVCL-_AG TC METER _Weekly Urban PBR CO - 9-1-09 to 15.01.09" xfId="1825"/>
    <cellStyle name="_pgvcl-costal_pgvcl_Book-DMTHL" xfId="1826"/>
    <cellStyle name="_pgvcl-costal_PGVCL-_Book-DMTHL" xfId="1827"/>
    <cellStyle name="_pgvcl-costal_pgvcl_BVN-7" xfId="1828"/>
    <cellStyle name="_pgvcl-costal_PGVCL-_BVN-7" xfId="1829"/>
    <cellStyle name="_pgvcl-costal_pgvcl_BVN-7_JGY BM Cross FDR" xfId="1830"/>
    <cellStyle name="_pgvcl-costal_PGVCL-_BVN-7_JGY BM Cross FDR" xfId="1831"/>
    <cellStyle name="_pgvcl-costal_pgvcl_Comparison" xfId="1832"/>
    <cellStyle name="_pgvcl-costal_PGVCL-_Comparison" xfId="1833"/>
    <cellStyle name="_pgvcl-costal_pgvcl_Details of Selected Urban Feeder" xfId="1834"/>
    <cellStyle name="_pgvcl-costal_PGVCL-_Details of Selected Urban Feeder" xfId="1835"/>
    <cellStyle name="_pgvcl-costal_pgvcl_DHTHL JAN-09" xfId="1836"/>
    <cellStyle name="_pgvcl-costal_PGVCL-_DHTHL JAN-09" xfId="1837"/>
    <cellStyle name="_pgvcl-costal_pgvcl_dnthl Feb-09" xfId="1838"/>
    <cellStyle name="_pgvcl-costal_PGVCL-_dnthl Feb-09" xfId="1839"/>
    <cellStyle name="_pgvcl-costal_pgvcl_JGY BM Cross FDR" xfId="1840"/>
    <cellStyle name="_pgvcl-costal_PGVCL-_JGY BM Cross FDR" xfId="1841"/>
    <cellStyle name="_pgvcl-costal_pgvcl_JGYssss" xfId="1842"/>
    <cellStyle name="_pgvcl-costal_PGVCL-_JGYssss" xfId="1843"/>
    <cellStyle name="_pgvcl-costal_pgvcl_JMN-7" xfId="1844"/>
    <cellStyle name="_pgvcl-costal_PGVCL-_JMN-7" xfId="1845"/>
    <cellStyle name="_pgvcl-costal_pgvcl_JMN-7_JGY BM Cross FDR" xfId="1846"/>
    <cellStyle name="_pgvcl-costal_PGVCL-_JMN-7_JGY BM Cross FDR" xfId="1847"/>
    <cellStyle name="_pgvcl-costal_pgvcl_JMN-77" xfId="1848"/>
    <cellStyle name="_pgvcl-costal_PGVCL-_JMN-77" xfId="1849"/>
    <cellStyle name="_pgvcl-costal_pgvcl_JMN-77_JGY BM Cross FDR" xfId="1850"/>
    <cellStyle name="_pgvcl-costal_PGVCL-_JMN-77_JGY BM Cross FDR" xfId="1851"/>
    <cellStyle name="_pgvcl-costal_pgvcl_JND - 5" xfId="1852"/>
    <cellStyle name="_pgvcl-costal_PGVCL-_JND - 5" xfId="1853"/>
    <cellStyle name="_pgvcl-costal_pgvcl_JND - 5 CFL" xfId="1854"/>
    <cellStyle name="_pgvcl-costal_PGVCL-_JND - 5 CFL" xfId="1855"/>
    <cellStyle name="_pgvcl-costal_pgvcl_JND - 5 CFL_JGY BM Cross FDR" xfId="1856"/>
    <cellStyle name="_pgvcl-costal_PGVCL-_JND - 5 CFL_JGY BM Cross FDR" xfId="1857"/>
    <cellStyle name="_pgvcl-costal_pgvcl_JND - 5_03.03.09 Accd, Coastal" xfId="1858"/>
    <cellStyle name="_pgvcl-costal_PGVCL-_JND - 5_03.03.09 Accd, Coastal" xfId="1859"/>
    <cellStyle name="_pgvcl-costal_pgvcl_JND - 5_Accd &amp; Coastal 24.08.09" xfId="1860"/>
    <cellStyle name="_pgvcl-costal_PGVCL-_JND - 5_Accd &amp; Coastal 24.08.09" xfId="1861"/>
    <cellStyle name="_pgvcl-costal_pgvcl_JND - 5_Accd MOSE 04.08.09" xfId="1862"/>
    <cellStyle name="_pgvcl-costal_PGVCL-_JND - 5_Accd MOSE 04.08.09" xfId="1863"/>
    <cellStyle name="_pgvcl-costal_pgvcl_JND - 5_Accident &amp; Coastal" xfId="1864"/>
    <cellStyle name="_pgvcl-costal_PGVCL-_JND - 5_Accident &amp; Coastal" xfId="1865"/>
    <cellStyle name="_pgvcl-costal_pgvcl_JND - 5_Bill Pending - SEs Conf. 21.08.08" xfId="1866"/>
    <cellStyle name="_pgvcl-costal_PGVCL-_JND - 5_Bill Pending - SEs Conf. 21.08.08" xfId="1867"/>
    <cellStyle name="_pgvcl-costal_pgvcl_JND - 5_Bill Pending - SEs Conf. 21.08.08_JGY BM Cross FDR" xfId="1868"/>
    <cellStyle name="_pgvcl-costal_PGVCL-_JND - 5_Bill Pending - SEs Conf. 21.08.08_JGY BM Cross FDR" xfId="1869"/>
    <cellStyle name="_pgvcl-costal_pgvcl_JND - 5_BOARD 30-03-09" xfId="1870"/>
    <cellStyle name="_pgvcl-costal_PGVCL-_JND - 5_BOARD 30-03-09" xfId="1871"/>
    <cellStyle name="_pgvcl-costal_pgvcl_JND - 5_BOARD 30-03-09_JGY BM Cross FDR" xfId="1872"/>
    <cellStyle name="_pgvcl-costal_PGVCL-_JND - 5_BOARD 30-03-09_JGY BM Cross FDR" xfId="1873"/>
    <cellStyle name="_pgvcl-costal_pgvcl_JND - 5_Book-DMTHL" xfId="1874"/>
    <cellStyle name="_pgvcl-costal_PGVCL-_JND - 5_Book-DMTHL" xfId="1875"/>
    <cellStyle name="_pgvcl-costal_pgvcl_JND - 5_Circle wise Coastal" xfId="1876"/>
    <cellStyle name="_pgvcl-costal_PGVCL-_JND - 5_Circle wise Coastal" xfId="1877"/>
    <cellStyle name="_pgvcl-costal_pgvcl_JND - 5_Coastal TS" xfId="1878"/>
    <cellStyle name="_pgvcl-costal_PGVCL-_JND - 5_Coastal TS" xfId="1879"/>
    <cellStyle name="_pgvcl-costal_pgvcl_JND - 5_Comparison" xfId="1880"/>
    <cellStyle name="_pgvcl-costal_PGVCL-_JND - 5_Comparison" xfId="1881"/>
    <cellStyle name="_pgvcl-costal_pgvcl_JND - 5_Details of Selected Urban Feeder" xfId="1882"/>
    <cellStyle name="_pgvcl-costal_PGVCL-_JND - 5_Details of Selected Urban Feeder" xfId="1883"/>
    <cellStyle name="_pgvcl-costal_pgvcl_JND - 5_DHTHL JAN-09" xfId="1884"/>
    <cellStyle name="_pgvcl-costal_PGVCL-_JND - 5_DHTHL JAN-09" xfId="1885"/>
    <cellStyle name="_pgvcl-costal_pgvcl_JND - 5_dnthl Feb-09" xfId="1886"/>
    <cellStyle name="_pgvcl-costal_PGVCL-_JND - 5_dnthl Feb-09" xfId="1887"/>
    <cellStyle name="_pgvcl-costal_pgvcl_JND - 5_HOD 16-04-09 Transformer" xfId="1888"/>
    <cellStyle name="_pgvcl-costal_PGVCL-_JND - 5_HOD 16-04-09 Transformer" xfId="1889"/>
    <cellStyle name="_pgvcl-costal_pgvcl_JND - 5_HOD 16-04-09 Transformer_JGY BM Cross FDR" xfId="1890"/>
    <cellStyle name="_pgvcl-costal_PGVCL-_JND - 5_HOD 16-04-09 Transformer_JGY BM Cross FDR" xfId="1891"/>
    <cellStyle name="_pgvcl-costal_pgvcl_JND - 5_JGY BM Cross FDR" xfId="1892"/>
    <cellStyle name="_pgvcl-costal_PGVCL-_JND - 5_JGY BM Cross FDR" xfId="1893"/>
    <cellStyle name="_pgvcl-costal_pgvcl_JND - 5_JGYssss" xfId="1894"/>
    <cellStyle name="_pgvcl-costal_PGVCL-_JND - 5_JGYssss" xfId="1895"/>
    <cellStyle name="_pgvcl-costal_pgvcl_JND - 5_Other Points 01.07.09" xfId="1896"/>
    <cellStyle name="_pgvcl-costal_PGVCL-_JND - 5_Other Points 01.07.09" xfId="1897"/>
    <cellStyle name="_pgvcl-costal_pgvcl_JND - 5_Other Points 16 04 09" xfId="1898"/>
    <cellStyle name="_pgvcl-costal_PGVCL-_JND - 5_Other Points 16 04 09" xfId="1899"/>
    <cellStyle name="_pgvcl-costal_pgvcl_JND - 5_PBR" xfId="1900"/>
    <cellStyle name="_pgvcl-costal_PGVCL-_JND - 5_PBR" xfId="1901"/>
    <cellStyle name="_pgvcl-costal_pgvcl_JND - 5_PBR CO_DAILY REPORT GIS - 20-01-09" xfId="1902"/>
    <cellStyle name="_pgvcl-costal_PGVCL-_JND - 5_PBR CO_DAILY REPORT GIS - 20-01-09" xfId="1903"/>
    <cellStyle name="_pgvcl-costal_pgvcl_JND - 5_point 10 Accd Main file SEs Conf 11.02.08" xfId="1904"/>
    <cellStyle name="_pgvcl-costal_PGVCL-_JND - 5_point 10 Accd Main file SEs Conf 11.02.08" xfId="1905"/>
    <cellStyle name="_pgvcl-costal_pgvcl_JND - 5_Point 14.a Transformers Failure" xfId="1906"/>
    <cellStyle name="_pgvcl-costal_PGVCL-_JND - 5_Point 14.a Transformers Failure" xfId="1907"/>
    <cellStyle name="_pgvcl-costal_pgvcl_JND - 5_Point 14.a Transformers Failure_JGY BM Cross FDR" xfId="1908"/>
    <cellStyle name="_pgvcl-costal_PGVCL-_JND - 5_Point 14.a Transformers Failure_JGY BM Cross FDR" xfId="1909"/>
    <cellStyle name="_pgvcl-costal_pgvcl_JND - 5_point 20. Accident" xfId="1910"/>
    <cellStyle name="_pgvcl-costal_PGVCL-_JND - 5_point 20. Accident" xfId="1911"/>
    <cellStyle name="_pgvcl-costal_pgvcl_JND - 5_point 20. Accident_JGY BM Cross FDR" xfId="1912"/>
    <cellStyle name="_pgvcl-costal_PGVCL-_JND - 5_point 20. Accident_JGY BM Cross FDR" xfId="1913"/>
    <cellStyle name="_pgvcl-costal_pgvcl_JND - 5_SE 14-05-09" xfId="1914"/>
    <cellStyle name="_pgvcl-costal_PGVCL-_JND - 5_SE 14-05-09" xfId="1915"/>
    <cellStyle name="_pgvcl-costal_pgvcl_JND - 5_SE 14-05-09_JGY BM Cross FDR" xfId="1916"/>
    <cellStyle name="_pgvcl-costal_PGVCL-_JND - 5_SE 14-05-09_JGY BM Cross FDR" xfId="1917"/>
    <cellStyle name="_pgvcl-costal_pgvcl_JND - 5_SEs Conf 16 06 09 Tech - 2 details" xfId="1918"/>
    <cellStyle name="_pgvcl-costal_PGVCL-_JND - 5_SEs Conf 16 06 09 Tech - 2 details" xfId="1919"/>
    <cellStyle name="_pgvcl-costal_pgvcl_JND - 5_SEs Conf. 14.12.2008" xfId="1920"/>
    <cellStyle name="_pgvcl-costal_PGVCL-_JND - 5_SEs Conf. 14.12.2008" xfId="1921"/>
    <cellStyle name="_pgvcl-costal_pgvcl_JND - 5_SEs Conf. 14.12.2008_JGY BM Cross FDR" xfId="1922"/>
    <cellStyle name="_pgvcl-costal_PGVCL-_JND - 5_SEs Conf. 14.12.2008_JGY BM Cross FDR" xfId="1923"/>
    <cellStyle name="_pgvcl-costal_pgvcl_JND - 5_T&amp;D August-08" xfId="1924"/>
    <cellStyle name="_pgvcl-costal_PGVCL-_JND - 5_T&amp;D August-08" xfId="1925"/>
    <cellStyle name="_pgvcl-costal_pgvcl_JND - 5_T&amp;D Dec-08" xfId="1926"/>
    <cellStyle name="_pgvcl-costal_PGVCL-_JND - 5_T&amp;D Dec-08" xfId="1927"/>
    <cellStyle name="_pgvcl-costal_pgvcl_JND - 5_T&amp;D July-08" xfId="1928"/>
    <cellStyle name="_pgvcl-costal_PGVCL-_JND - 5_T&amp;D July-08" xfId="1929"/>
    <cellStyle name="_pgvcl-costal_pgvcl_JND - 5_t-2Other Points 14.05.09" xfId="1930"/>
    <cellStyle name="_pgvcl-costal_PGVCL-_JND - 5_t-2Other Points 14.05.09" xfId="1931"/>
    <cellStyle name="_pgvcl-costal_pgvcl_JND - 5_TECH-2 SOFT COPY" xfId="1932"/>
    <cellStyle name="_pgvcl-costal_PGVCL-_JND - 5_TECH-2 SOFT COPY" xfId="1933"/>
    <cellStyle name="_pgvcl-costal_pgvcl_JND - 5_URBAN WEEKLY PBR CO" xfId="1934"/>
    <cellStyle name="_pgvcl-costal_PGVCL-_JND - 5_URBAN WEEKLY PBR CO" xfId="1935"/>
    <cellStyle name="_pgvcl-costal_pgvcl_JND - 5_Weekly Urban PBR CO - 06-03-09 to 12-03-09" xfId="1936"/>
    <cellStyle name="_pgvcl-costal_PGVCL-_JND - 5_Weekly Urban PBR CO - 06-03-09 to 12-03-09" xfId="1937"/>
    <cellStyle name="_pgvcl-costal_pgvcl_JND - 5_Weekly Urban PBR CO - 20-02-09 to 26-02-09" xfId="1938"/>
    <cellStyle name="_pgvcl-costal_PGVCL-_JND - 5_Weekly Urban PBR CO - 20-02-09 to 26-02-09" xfId="1939"/>
    <cellStyle name="_pgvcl-costal_pgvcl_JND - 5_Weekly Urban PBR CO - 30-01-09 to 05-02-09" xfId="1940"/>
    <cellStyle name="_pgvcl-costal_PGVCL-_JND - 5_Weekly Urban PBR CO - 30-01-09 to 05-02-09" xfId="1941"/>
    <cellStyle name="_pgvcl-costal_pgvcl_JND - 5_Weekly Urban PBR CO - 9-1-09 to 15.01.09" xfId="1942"/>
    <cellStyle name="_pgvcl-costal_PGVCL-_JND - 5_Weekly Urban PBR CO - 9-1-09 to 15.01.09" xfId="1943"/>
    <cellStyle name="_pgvcl-costal_pgvcl_JND - 7" xfId="1944"/>
    <cellStyle name="_pgvcl-costal_PGVCL-_JND - 7" xfId="1945"/>
    <cellStyle name="_pgvcl-costal_pgvcl_JND - 7_JGY BM Cross FDR" xfId="1946"/>
    <cellStyle name="_pgvcl-costal_PGVCL-_JND - 7_JGY BM Cross FDR" xfId="1947"/>
    <cellStyle name="_pgvcl-costal_pgvcl_JND 50" xfId="1948"/>
    <cellStyle name="_pgvcl-costal_PGVCL-_JND 50" xfId="1949"/>
    <cellStyle name="_pgvcl-costal_pgvcl_JND 50_JGY BM Cross FDR" xfId="1950"/>
    <cellStyle name="_pgvcl-costal_PGVCL-_JND 50_JGY BM Cross FDR" xfId="1951"/>
    <cellStyle name="_pgvcl-costal_pgvcl_JND-5" xfId="1952"/>
    <cellStyle name="_pgvcl-costal_PGVCL-_JND-5" xfId="1953"/>
    <cellStyle name="_pgvcl-costal_pgvcl_JND-5_Book-DMTHL" xfId="1954"/>
    <cellStyle name="_pgvcl-costal_PGVCL-_JND-5_Book-DMTHL" xfId="1955"/>
    <cellStyle name="_pgvcl-costal_pgvcl_JND-5_Comparison" xfId="1956"/>
    <cellStyle name="_pgvcl-costal_PGVCL-_JND-5_Comparison" xfId="1957"/>
    <cellStyle name="_pgvcl-costal_pgvcl_JND-5_Details of Selected Urban Feeder" xfId="1958"/>
    <cellStyle name="_pgvcl-costal_PGVCL-_JND-5_Details of Selected Urban Feeder" xfId="1959"/>
    <cellStyle name="_pgvcl-costal_pgvcl_JND-5_DHTHL JAN-09" xfId="1960"/>
    <cellStyle name="_pgvcl-costal_PGVCL-_JND-5_DHTHL JAN-09" xfId="1961"/>
    <cellStyle name="_pgvcl-costal_pgvcl_JND-5_dnthl Feb-09" xfId="1962"/>
    <cellStyle name="_pgvcl-costal_PGVCL-_JND-5_dnthl Feb-09" xfId="1963"/>
    <cellStyle name="_pgvcl-costal_pgvcl_JND-5_JGY BM Cross FDR" xfId="1964"/>
    <cellStyle name="_pgvcl-costal_PGVCL-_JND-5_JGY BM Cross FDR" xfId="1965"/>
    <cellStyle name="_pgvcl-costal_pgvcl_JND-5_JGYssss" xfId="1966"/>
    <cellStyle name="_pgvcl-costal_PGVCL-_JND-5_JGYssss" xfId="1967"/>
    <cellStyle name="_pgvcl-costal_pgvcl_JND-5_PBR" xfId="1968"/>
    <cellStyle name="_pgvcl-costal_PGVCL-_JND-5_PBR" xfId="1969"/>
    <cellStyle name="_pgvcl-costal_pgvcl_JND-5_PBR CO_DAILY REPORT GIS - 20-01-09" xfId="1970"/>
    <cellStyle name="_pgvcl-costal_PGVCL-_JND-5_PBR CO_DAILY REPORT GIS - 20-01-09" xfId="1971"/>
    <cellStyle name="_pgvcl-costal_pgvcl_JND-5_T&amp;D August-08" xfId="1972"/>
    <cellStyle name="_pgvcl-costal_PGVCL-_JND-5_T&amp;D August-08" xfId="1973"/>
    <cellStyle name="_pgvcl-costal_pgvcl_JND-5_T&amp;D Dec-08" xfId="1974"/>
    <cellStyle name="_pgvcl-costal_PGVCL-_JND-5_T&amp;D Dec-08" xfId="1975"/>
    <cellStyle name="_pgvcl-costal_pgvcl_JND-5_T&amp;D July-08" xfId="1976"/>
    <cellStyle name="_pgvcl-costal_PGVCL-_JND-5_T&amp;D July-08" xfId="1977"/>
    <cellStyle name="_pgvcl-costal_pgvcl_JND-5_URBAN WEEKLY PBR CO" xfId="1978"/>
    <cellStyle name="_pgvcl-costal_PGVCL-_JND-5_URBAN WEEKLY PBR CO" xfId="1979"/>
    <cellStyle name="_pgvcl-costal_pgvcl_JND-5_Weekly Urban PBR CO - 06-03-09 to 12-03-09" xfId="1980"/>
    <cellStyle name="_pgvcl-costal_PGVCL-_JND-5_Weekly Urban PBR CO - 06-03-09 to 12-03-09" xfId="1981"/>
    <cellStyle name="_pgvcl-costal_pgvcl_JND-5_Weekly Urban PBR CO - 20-02-09 to 26-02-09" xfId="1982"/>
    <cellStyle name="_pgvcl-costal_PGVCL-_JND-5_Weekly Urban PBR CO - 20-02-09 to 26-02-09" xfId="1983"/>
    <cellStyle name="_pgvcl-costal_pgvcl_JND-5_Weekly Urban PBR CO - 30-01-09 to 05-02-09" xfId="1984"/>
    <cellStyle name="_pgvcl-costal_PGVCL-_JND-5_Weekly Urban PBR CO - 30-01-09 to 05-02-09" xfId="1985"/>
    <cellStyle name="_pgvcl-costal_pgvcl_JND-5_Weekly Urban PBR CO - 9-1-09 to 15.01.09" xfId="1986"/>
    <cellStyle name="_pgvcl-costal_PGVCL-_JND-5_Weekly Urban PBR CO - 9-1-09 to 15.01.09" xfId="1987"/>
    <cellStyle name="_pgvcl-costal_pgvcl_JND-7" xfId="1988"/>
    <cellStyle name="_pgvcl-costal_PGVCL-_JND-7" xfId="1989"/>
    <cellStyle name="_pgvcl-costal_pgvcl_JND-7_JGY BM Cross FDR" xfId="1990"/>
    <cellStyle name="_pgvcl-costal_PGVCL-_JND-7_JGY BM Cross FDR" xfId="1991"/>
    <cellStyle name="_pgvcl-costal_pgvcl_NEW MIS Jan - 08" xfId="1992"/>
    <cellStyle name="_pgvcl-costal_PGVCL-_NEW MIS Jan - 08" xfId="1993"/>
    <cellStyle name="_pgvcl-costal_pgvcl_NEW MIS Jan - 08_Book-DMTHL" xfId="1994"/>
    <cellStyle name="_pgvcl-costal_PGVCL-_NEW MIS Jan - 08_Book-DMTHL" xfId="1995"/>
    <cellStyle name="_pgvcl-costal_pgvcl_NEW MIS Jan - 08_Comparison" xfId="1996"/>
    <cellStyle name="_pgvcl-costal_PGVCL-_NEW MIS Jan - 08_Comparison" xfId="1997"/>
    <cellStyle name="_pgvcl-costal_pgvcl_NEW MIS Jan - 08_Details of Selected Urban Feeder" xfId="1998"/>
    <cellStyle name="_pgvcl-costal_PGVCL-_NEW MIS Jan - 08_Details of Selected Urban Feeder" xfId="1999"/>
    <cellStyle name="_pgvcl-costal_pgvcl_NEW MIS Jan - 08_DHTHL JAN-09" xfId="2000"/>
    <cellStyle name="_pgvcl-costal_PGVCL-_NEW MIS Jan - 08_DHTHL JAN-09" xfId="2001"/>
    <cellStyle name="_pgvcl-costal_pgvcl_NEW MIS Jan - 08_dnthl Feb-09" xfId="2002"/>
    <cellStyle name="_pgvcl-costal_PGVCL-_NEW MIS Jan - 08_dnthl Feb-09" xfId="2003"/>
    <cellStyle name="_pgvcl-costal_pgvcl_NEW MIS Jan - 08_JGY BM Cross FDR" xfId="2004"/>
    <cellStyle name="_pgvcl-costal_PGVCL-_NEW MIS Jan - 08_JGY BM Cross FDR" xfId="2005"/>
    <cellStyle name="_pgvcl-costal_pgvcl_NEW MIS Jan - 08_JGYssss" xfId="2006"/>
    <cellStyle name="_pgvcl-costal_PGVCL-_NEW MIS Jan - 08_JGYssss" xfId="2007"/>
    <cellStyle name="_pgvcl-costal_pgvcl_NEW MIS Jan - 08_PBR" xfId="2008"/>
    <cellStyle name="_pgvcl-costal_PGVCL-_NEW MIS Jan - 08_PBR" xfId="2009"/>
    <cellStyle name="_pgvcl-costal_pgvcl_NEW MIS Jan - 08_PBR CO_DAILY REPORT GIS - 20-01-09" xfId="2010"/>
    <cellStyle name="_pgvcl-costal_PGVCL-_NEW MIS Jan - 08_PBR CO_DAILY REPORT GIS - 20-01-09" xfId="2011"/>
    <cellStyle name="_pgvcl-costal_pgvcl_NEW MIS Jan - 08_T&amp;D August-08" xfId="2012"/>
    <cellStyle name="_pgvcl-costal_PGVCL-_NEW MIS Jan - 08_T&amp;D August-08" xfId="2013"/>
    <cellStyle name="_pgvcl-costal_pgvcl_NEW MIS Jan - 08_T&amp;D Dec-08" xfId="2014"/>
    <cellStyle name="_pgvcl-costal_PGVCL-_NEW MIS Jan - 08_T&amp;D Dec-08" xfId="2015"/>
    <cellStyle name="_pgvcl-costal_pgvcl_NEW MIS Jan - 08_T&amp;D July-08" xfId="2016"/>
    <cellStyle name="_pgvcl-costal_PGVCL-_NEW MIS Jan - 08_T&amp;D July-08" xfId="2017"/>
    <cellStyle name="_pgvcl-costal_pgvcl_NEW MIS Jan - 08_URBAN WEEKLY PBR CO" xfId="2018"/>
    <cellStyle name="_pgvcl-costal_PGVCL-_NEW MIS Jan - 08_URBAN WEEKLY PBR CO" xfId="2019"/>
    <cellStyle name="_pgvcl-costal_pgvcl_NEW MIS Jan - 08_Weekly Urban PBR CO - 06-03-09 to 12-03-09" xfId="2020"/>
    <cellStyle name="_pgvcl-costal_PGVCL-_NEW MIS Jan - 08_Weekly Urban PBR CO - 06-03-09 to 12-03-09" xfId="2021"/>
    <cellStyle name="_pgvcl-costal_pgvcl_NEW MIS Jan - 08_Weekly Urban PBR CO - 20-02-09 to 26-02-09" xfId="2022"/>
    <cellStyle name="_pgvcl-costal_PGVCL-_NEW MIS Jan - 08_Weekly Urban PBR CO - 20-02-09 to 26-02-09" xfId="2023"/>
    <cellStyle name="_pgvcl-costal_pgvcl_NEW MIS Jan - 08_Weekly Urban PBR CO - 30-01-09 to 05-02-09" xfId="2024"/>
    <cellStyle name="_pgvcl-costal_PGVCL-_NEW MIS Jan - 08_Weekly Urban PBR CO - 30-01-09 to 05-02-09" xfId="2025"/>
    <cellStyle name="_pgvcl-costal_pgvcl_NEW MIS Jan - 08_Weekly Urban PBR CO - 9-1-09 to 15.01.09" xfId="2026"/>
    <cellStyle name="_pgvcl-costal_PGVCL-_NEW MIS Jan - 08_Weekly Urban PBR CO - 9-1-09 to 15.01.09" xfId="2027"/>
    <cellStyle name="_pgvcl-costal_pgvcl_NEWMISFromJNDCircle-DEC07" xfId="2028"/>
    <cellStyle name="_pgvcl-costal_PGVCL-_NEWMISFromJNDCircle-DEC07" xfId="2029"/>
    <cellStyle name="_pgvcl-costal_pgvcl_PBR" xfId="2030"/>
    <cellStyle name="_pgvcl-costal_PGVCL-_PBR" xfId="2031"/>
    <cellStyle name="_pgvcl-costal_pgvcl_PBR CO_DAILY REPORT GIS - 20-01-09" xfId="2032"/>
    <cellStyle name="_pgvcl-costal_PGVCL-_PBR CO_DAILY REPORT GIS - 20-01-09" xfId="2033"/>
    <cellStyle name="_pgvcl-costal_pgvcl_PBR-7" xfId="2034"/>
    <cellStyle name="_pgvcl-costal_PGVCL-_PBR-7" xfId="2035"/>
    <cellStyle name="_pgvcl-costal_pgvcl_sept JMN-7" xfId="2036"/>
    <cellStyle name="_pgvcl-costal_PGVCL-_sept JMN-7" xfId="2037"/>
    <cellStyle name="_pgvcl-costal_pgvcl_T&amp;D August-08" xfId="2038"/>
    <cellStyle name="_pgvcl-costal_PGVCL-_T&amp;D August-08" xfId="2039"/>
    <cellStyle name="_pgvcl-costal_pgvcl_T&amp;D Dec-08" xfId="2040"/>
    <cellStyle name="_pgvcl-costal_PGVCL-_T&amp;D Dec-08" xfId="2041"/>
    <cellStyle name="_pgvcl-costal_pgvcl_T&amp;D July-08" xfId="2042"/>
    <cellStyle name="_pgvcl-costal_PGVCL-_T&amp;D July-08" xfId="2043"/>
    <cellStyle name="_pgvcl-costal_pgvcl_URBAN WEEKLY PBR CO" xfId="2044"/>
    <cellStyle name="_pgvcl-costal_PGVCL-_URBAN WEEKLY PBR CO" xfId="2045"/>
    <cellStyle name="_pgvcl-costal_pgvcl_Weekly Urban PBR CO - 06-03-09 to 12-03-09" xfId="2046"/>
    <cellStyle name="_pgvcl-costal_PGVCL-_Weekly Urban PBR CO - 06-03-09 to 12-03-09" xfId="2047"/>
    <cellStyle name="_pgvcl-costal_pgvcl_Weekly Urban PBR CO - 20-02-09 to 26-02-09" xfId="2048"/>
    <cellStyle name="_pgvcl-costal_PGVCL-_Weekly Urban PBR CO - 20-02-09 to 26-02-09" xfId="2049"/>
    <cellStyle name="_pgvcl-costal_pgvcl_Weekly Urban PBR CO - 30-01-09 to 05-02-09" xfId="2050"/>
    <cellStyle name="_pgvcl-costal_PGVCL-_Weekly Urban PBR CO - 30-01-09 to 05-02-09" xfId="2051"/>
    <cellStyle name="_pgvcl-costal_pgvcl_Weekly Urban PBR CO - 9-1-09 to 15.01.09" xfId="2052"/>
    <cellStyle name="_pgvcl-costal_PGVCL-_Weekly Urban PBR CO - 9-1-09 to 15.01.09" xfId="2053"/>
    <cellStyle name="_pgvcl-costal_sept JMN-7" xfId="2054"/>
    <cellStyle name="_pgvcl-costal_T&amp;D August-08" xfId="2055"/>
    <cellStyle name="_pgvcl-costal_T&amp;D Dec-08" xfId="2056"/>
    <cellStyle name="_pgvcl-costal_T&amp;D July-08" xfId="2057"/>
    <cellStyle name="_pgvcl-costal_URBAN WEEKLY PBR CO" xfId="2058"/>
    <cellStyle name="_pgvcl-costal_Weekly Coastal 11.08.08" xfId="2059"/>
    <cellStyle name="_pgvcl-costal_Weekly Coastal 11.08.08_JGY BM Cross FDR" xfId="2060"/>
    <cellStyle name="_pgvcl-costal_Weekly Coastal PGVCL 01.06.09" xfId="2061"/>
    <cellStyle name="_pgvcl-costal_Weekly Coastal PGVCL 12.01.09" xfId="2062"/>
    <cellStyle name="_pgvcl-costal_Weekly Coastal PGVCL 12.01.09_JGY BM Cross FDR" xfId="2063"/>
    <cellStyle name="_pgvcl-costal_Weekly Coastal PGVCL 13.10.08" xfId="2064"/>
    <cellStyle name="_pgvcl-costal_Weekly Coastal PGVCL 13.10.08_JGY BM Cross FDR" xfId="2065"/>
    <cellStyle name="_pgvcl-costal_Weekly Coastal PGVCL 17.08.09" xfId="2066"/>
    <cellStyle name="_pgvcl-costal_Weekly Coastal PGVCL 23.03.09(LACS)" xfId="2067"/>
    <cellStyle name="_pgvcl-costal_Weekly Coastal PGVCL 23.03.09(LACS)_JGY BM Cross FDR" xfId="2068"/>
    <cellStyle name="_pgvcl-costal_Weekly Urban PBR CO - 06-03-09 to 12-03-09" xfId="2069"/>
    <cellStyle name="_pgvcl-costal_Weekly Urban PBR CO - 20-02-09 to 26-02-09" xfId="2070"/>
    <cellStyle name="_pgvcl-costal_Weekly Urban PBR CO - 30-01-09 to 05-02-09" xfId="2071"/>
    <cellStyle name="_pgvcl-costal_Weekly Urban PBR CO - 9-1-09 to 15.01.09" xfId="2072"/>
    <cellStyle name="_PLN" xfId="2073"/>
    <cellStyle name="_PLN CO  KPI  DEC - 07" xfId="2074"/>
    <cellStyle name="_PLN CO  KPI  DEC - 07_JGY BM Cross FDR" xfId="2075"/>
    <cellStyle name="_PLN CO  KPI  NOV - 07 FINAL" xfId="2076"/>
    <cellStyle name="_PLN CO  KPI  NOV - 07 FINAL_JGY BM Cross FDR" xfId="2077"/>
    <cellStyle name="_PLN CO MD FORMATS   DEC-07 FINAL" xfId="2078"/>
    <cellStyle name="_PLN CO MD FORMATS   DEC-07 FINAL_JGY BM Cross FDR" xfId="2079"/>
    <cellStyle name="_PLN_Gondal(REC)-after S'nagar" xfId="2080"/>
    <cellStyle name="_PLN_JGY BM Cross FDR" xfId="2081"/>
    <cellStyle name="_progress" xfId="2082"/>
    <cellStyle name="_progress_JGY BM Cross FDR" xfId="2083"/>
    <cellStyle name="_Pt.3(Costal)" xfId="2084"/>
    <cellStyle name="_Pt.3(Costal)_Activity since Feb-2008" xfId="2085"/>
    <cellStyle name="_Pt.3(Costal)_Activity since Feb-2008_JGY BM Cross FDR" xfId="2086"/>
    <cellStyle name="_Pt.3(Costal)_ANNEXURE-PERFORMANCE" xfId="2087"/>
    <cellStyle name="_Pt.3(Costal)_ANNEXURE-PERFORMANCE_Activity since Feb-2008" xfId="2088"/>
    <cellStyle name="_Pt.3(Costal)_ANNEXURE-PERFORMANCE_Activity since Feb-2008_JGY BM Cross FDR" xfId="2089"/>
    <cellStyle name="_Pt.3(Costal)_Book1" xfId="2090"/>
    <cellStyle name="_Pt.3(Costal)_Book3" xfId="2091"/>
    <cellStyle name="_Pt.3(Costal)_lines coverd in R &amp; M for 2007-08 and 2008-09" xfId="2092"/>
    <cellStyle name="_Pt.3(Costal)_lines coverd in R &amp; M for 2007-08 and 2008-09_JGY BM Cross FDR" xfId="2093"/>
    <cellStyle name="_Pt.3(Costal)_Zone-summary" xfId="2094"/>
    <cellStyle name="_Pt.3(Costal)_Zone-summary_JGY BM Cross FDR" xfId="2095"/>
    <cellStyle name="_REC-2008-09(Asha)" xfId="2096"/>
    <cellStyle name="_REC-2008-09(Asha)_JGY BM Cross FDR" xfId="2097"/>
    <cellStyle name="_rev2part-b" xfId="2098"/>
    <cellStyle name="_Revised Coastal Planning 2009_10 20.05.09" xfId="2099"/>
    <cellStyle name="_Rewiew  of SS Augmentation" xfId="2100"/>
    <cellStyle name="_Rewiew  of SS Augmentation_Activity since Feb-2008" xfId="2101"/>
    <cellStyle name="_Rewiew  of SS Augmentation_Activity since Feb-2008_JGY BM Cross FDR" xfId="2102"/>
    <cellStyle name="_Rewiew  of SS Augmentation_Monthly progress of ss &amp; line Jun-08" xfId="2103"/>
    <cellStyle name="_Rewiew  of SS Augmentation_Monthly progress of ss &amp; line Jun-08_JGY BM Cross FDR" xfId="2104"/>
    <cellStyle name="_Rewiew  of SS Augmentation_Zonal Gondal-R&amp;M MIS Jan(1).-08" xfId="2105"/>
    <cellStyle name="_Rewiew  of SS Augmentation_Zonal Gondal-R&amp;M MIS Jan(1).-08_Activity since Feb-2008" xfId="2106"/>
    <cellStyle name="_Rewiew  of SS Augmentation_Zonal Gondal-R&amp;M MIS Jan(1).-08_Activity since Feb-2008_JGY BM Cross FDR" xfId="2107"/>
    <cellStyle name="_Rewiew  of SS Augmentation_Zonal Gondal-R&amp;M MIS Jan(1).-08_Book1" xfId="2108"/>
    <cellStyle name="_Rewiew  of SS Augmentation_Zonal Gondal-R&amp;M MIS Jan(1).-08_Copy of Zone- Formate for meeting 15.7.08" xfId="2109"/>
    <cellStyle name="_Rewiew  of SS Augmentation_Zonal Gondal-R&amp;M MIS Jan(1).-08_Copy of Zone- Formate for meeting 30.8.08" xfId="2110"/>
    <cellStyle name="_Rewiew  of SS Augmentation_Zonal Gondal-R&amp;M MIS Jan(1).-08_Copy of Zone- Formate for meeting 30.9.08" xfId="2111"/>
    <cellStyle name="_Rewiew  of SS Augmentation_Zonal Gondal-R&amp;M MIS Jan(1).-08_MD Visit - 10.9.08" xfId="2112"/>
    <cellStyle name="_Rewiew  of SS Augmentation_Zonal Gondal-R&amp;M MIS Jan(1).-08_Project Meeting-8.7.08" xfId="2113"/>
    <cellStyle name="_Rewiew  of SS Augmentation_Zone- Formate for meeting 14.6.08" xfId="2114"/>
    <cellStyle name="_Rewiew  of SS Augmentation_Zone- Formate for meeting 14.6.08_JGY BM Cross FDR" xfId="2115"/>
    <cellStyle name="_Rough Work" xfId="2116"/>
    <cellStyle name="_Rough Work_JGY BM Cross FDR" xfId="2117"/>
    <cellStyle name="_Routine_testing_work_done" xfId="2118"/>
    <cellStyle name="_Routine_testing_work_done_% avalability" xfId="2119"/>
    <cellStyle name="_Routine_testing_work_done_% avalability_Activity since Feb-2008" xfId="2120"/>
    <cellStyle name="_Routine_testing_work_done_% avalability_Activity since Feb-2008_JGY BM Cross FDR" xfId="2121"/>
    <cellStyle name="_Routine_testing_work_done_% avalability_Book1" xfId="2122"/>
    <cellStyle name="_Routine_testing_work_done_% avalability_Book1_1" xfId="2123"/>
    <cellStyle name="_Routine_testing_work_done_% avalability_Book1_Book1" xfId="2124"/>
    <cellStyle name="_Routine_testing_work_done_% avalability_Book1_Copy of Zone- Formate for meeting 15.7.08" xfId="2125"/>
    <cellStyle name="_Routine_testing_work_done_% avalability_Book1_Copy of Zone- Formate for meeting 30.8.08" xfId="2126"/>
    <cellStyle name="_Routine_testing_work_done_% avalability_Book1_Copy of Zone- Formate for meeting 30.9.08" xfId="2127"/>
    <cellStyle name="_Routine_testing_work_done_% avalability_Book1_MD Visit - 10.9.08" xfId="2128"/>
    <cellStyle name="_Routine_testing_work_done_% avalability_Book1_Project Meeting-8.7.08" xfId="2129"/>
    <cellStyle name="_Routine_testing_work_done_% avalability_Book3" xfId="2130"/>
    <cellStyle name="_Routine_testing_work_done_% avalability_Book3_Book1" xfId="2131"/>
    <cellStyle name="_Routine_testing_work_done_% avalability_Book3_Copy of Zone- Formate for meeting 15.7.08" xfId="2132"/>
    <cellStyle name="_Routine_testing_work_done_% avalability_Book3_Copy of Zone- Formate for meeting 30.8.08" xfId="2133"/>
    <cellStyle name="_Routine_testing_work_done_% avalability_Book3_Copy of Zone- Formate for meeting 30.9.08" xfId="2134"/>
    <cellStyle name="_Routine_testing_work_done_% avalability_Book3_MD Visit - 10.9.08" xfId="2135"/>
    <cellStyle name="_Routine_testing_work_done_% avalability_Book3_Project Meeting-8.7.08" xfId="2136"/>
    <cellStyle name="_Routine_testing_work_done_% avalability_Copy of Zone- Formate for meeting 15.7.08" xfId="2137"/>
    <cellStyle name="_Routine_testing_work_done_% avalability_Copy of Zone- Formate for meeting 30.8.08" xfId="2138"/>
    <cellStyle name="_Routine_testing_work_done_% avalability_Copy of Zone- Formate for meeting 30.9.08" xfId="2139"/>
    <cellStyle name="_Routine_testing_work_done_% avalability_MD Visit - 10.9.08" xfId="2140"/>
    <cellStyle name="_Routine_testing_work_done_% avalability_Project Meeting-8.7.08" xfId="2141"/>
    <cellStyle name="_Routine_testing_work_done_Activity since Feb-2008" xfId="2142"/>
    <cellStyle name="_Routine_testing_work_done_Activity since Feb-2008_JGY BM Cross FDR" xfId="2143"/>
    <cellStyle name="_Routine_testing_work_done_Breaker timing test" xfId="2144"/>
    <cellStyle name="_Routine_testing_work_done_Breaker timing test_JGY BM Cross FDR" xfId="2145"/>
    <cellStyle name="_Routine_testing_work_done_CIRCLE FINAL R&amp;M SUMMARY (Brh, Meh, GDLZone)" xfId="2146"/>
    <cellStyle name="_Routine_testing_work_done_Gondal(REC)-after S'nagar" xfId="2147"/>
    <cellStyle name="_Routine_testing_work_done_Monthly progress of ss &amp; line Jun-08" xfId="2148"/>
    <cellStyle name="_Routine_testing_work_done_Monthly progress of ss &amp; line Jun-08_JGY BM Cross FDR" xfId="2149"/>
    <cellStyle name="_Routine_testing_work_done_Progress on going work" xfId="2150"/>
    <cellStyle name="_Routine_testing_work_done_Progress on going work_Activity since Feb-2008" xfId="2151"/>
    <cellStyle name="_Routine_testing_work_done_Progress on going work_Activity since Feb-2008_JGY BM Cross FDR" xfId="2152"/>
    <cellStyle name="_Routine_testing_work_done_Progress on going work_Monthly progress of ss &amp; line Jun-08" xfId="2153"/>
    <cellStyle name="_Routine_testing_work_done_Progress on going work_Monthly progress of ss &amp; line Jun-08_JGY BM Cross FDR" xfId="2154"/>
    <cellStyle name="_Routine_testing_work_done_Progress on going work_Zone- Formate for meeting 14.6.08" xfId="2155"/>
    <cellStyle name="_Routine_testing_work_done_Progress on going work_Zone- Formate for meeting 14.6.08_JGY BM Cross FDR" xfId="2156"/>
    <cellStyle name="_Routine_testing_work_done_Zone- Formate for meeting 14.6.08" xfId="2157"/>
    <cellStyle name="_Routine_testing_work_done_Zone- Formate for meeting 14.6.08_JGY BM Cross FDR" xfId="2158"/>
    <cellStyle name="_SE(TR-II) Nov - 07" xfId="2159"/>
    <cellStyle name="_SE(TR-II) Nov - 07_JGY BM Cross FDR" xfId="2160"/>
    <cellStyle name="_Sheet1" xfId="2161"/>
    <cellStyle name="_Sheet1_Accd MOSE 04.08.09" xfId="2162"/>
    <cellStyle name="_Sheet1_ag wkly" xfId="2163"/>
    <cellStyle name="_Sheet1_Aux.cons" xfId="2164"/>
    <cellStyle name="_Sheet1_Aux.cons_AMR" xfId="2165"/>
    <cellStyle name="_Sheet1_Aux.cons_cum-JUL09" xfId="2166"/>
    <cellStyle name="_Sheet1_Aux.cons_cum-JUN09" xfId="2167"/>
    <cellStyle name="_Sheet1_Aux.cons_cum-NOV09" xfId="2168"/>
    <cellStyle name="_Sheet1_Aux.cons_cum-OCT09" xfId="2169"/>
    <cellStyle name="_Sheet1_Aux.cons_cum-SEP09" xfId="2170"/>
    <cellStyle name="_Sheet1_Aux.cons_LOSS DATA NOV-09" xfId="2171"/>
    <cellStyle name="_Sheet1_Aux.cons_loss projection" xfId="2172"/>
    <cellStyle name="_Sheet1_Aux.cons_se conf tnd compr" xfId="2173"/>
    <cellStyle name="_Sheet1_Aux.cons_T&amp;D April--09" xfId="2174"/>
    <cellStyle name="_Sheet1_categorywise comp" xfId="2175"/>
    <cellStyle name="_Sheet1_cum-JUL09" xfId="2176"/>
    <cellStyle name="_Sheet1_cum-JUN09" xfId="2177"/>
    <cellStyle name="_Sheet1_cum-NOV09" xfId="2178"/>
    <cellStyle name="_Sheet1_cum-OCT09" xfId="2179"/>
    <cellStyle name="_Sheet1_cum-SEP09" xfId="2180"/>
    <cellStyle name="_Sheet1_Format mat req 08-09" xfId="2181"/>
    <cellStyle name="_Sheet1_JGY BM Cross FDR" xfId="2182"/>
    <cellStyle name="_Sheet1_JGY loss comp ph-1-2-3 jul-09" xfId="2183"/>
    <cellStyle name="_Sheet1_loss comparision jul-09" xfId="2184"/>
    <cellStyle name="_Sheet1_LOSS DATA NOV-09" xfId="2185"/>
    <cellStyle name="_Sheet1_loss projection" xfId="2186"/>
    <cellStyle name="_Sheet1_meeting   16.09.09" xfId="2187"/>
    <cellStyle name="_Sheet1_mose part 1   (point 1-10)" xfId="2188"/>
    <cellStyle name="_Sheet1_mose point-3 JGY" xfId="2189"/>
    <cellStyle name="_Sheet1_mose point-3 JGY jun-09" xfId="2190"/>
    <cellStyle name="_Sheet1_PGVCL" xfId="2191"/>
    <cellStyle name="_Sheet1_PGVCL_AMR" xfId="2192"/>
    <cellStyle name="_Sheet1_PGVCL_cum-JUL09" xfId="2193"/>
    <cellStyle name="_Sheet1_PGVCL_cum-JUN09" xfId="2194"/>
    <cellStyle name="_Sheet1_PGVCL_cum-NOV09" xfId="2195"/>
    <cellStyle name="_Sheet1_PGVCL_cum-OCT09" xfId="2196"/>
    <cellStyle name="_Sheet1_PGVCL_cum-SEP09" xfId="2197"/>
    <cellStyle name="_Sheet1_PGVCL_LOSS DATA NOV-09" xfId="2198"/>
    <cellStyle name="_Sheet1_PGVCL_loss projection" xfId="2199"/>
    <cellStyle name="_Sheet1_PGVCL_se conf tnd compr" xfId="2200"/>
    <cellStyle name="_Sheet1_PGVCL_T&amp;D April--09" xfId="2201"/>
    <cellStyle name="_Sheet1_Point 8. Material Requirement" xfId="2202"/>
    <cellStyle name="_Sheet1_point 9. Price Variation" xfId="2203"/>
    <cellStyle name="_Sheet1_SE Conf 30-07  part-1 main" xfId="2204"/>
    <cellStyle name="_Sheet1_se conf tnd compr" xfId="2205"/>
    <cellStyle name="_Sheet1_seconf 27.08.09" xfId="2206"/>
    <cellStyle name="_Sheet1_Soft Copy of Tech-2" xfId="2207"/>
    <cellStyle name="_Sheet2" xfId="2208"/>
    <cellStyle name="_Sheet2_cum-JUL09" xfId="2209"/>
    <cellStyle name="_Sheet2_cum-JUN09" xfId="2210"/>
    <cellStyle name="_Sheet2_cum-NOV09" xfId="2211"/>
    <cellStyle name="_Sheet2_cum-OCT09" xfId="2212"/>
    <cellStyle name="_Sheet2_cum-SEP09" xfId="2213"/>
    <cellStyle name="_Sheet2_Format mat req 08-09" xfId="2214"/>
    <cellStyle name="_Sheet2_LOSS DATA NOV-09" xfId="2215"/>
    <cellStyle name="_Sheet2_loss projection" xfId="2216"/>
    <cellStyle name="_Sheet2_se conf tnd compr" xfId="2217"/>
    <cellStyle name="_sop t&amp;d" xfId="2218"/>
    <cellStyle name="_spare bushing 30.9.07" xfId="2219"/>
    <cellStyle name="_spare bushing 30.9.07_JGY BM Cross FDR" xfId="2220"/>
    <cellStyle name="_ss consumption CO" xfId="2221"/>
    <cellStyle name="_ss consumption CO_JGY BM Cross FDR" xfId="2222"/>
    <cellStyle name="_S-S conumption under Mehana Zone" xfId="2223"/>
    <cellStyle name="_S-S conumption under Mehana Zone_JGY BM Cross FDR" xfId="2224"/>
    <cellStyle name="_SS WISE 11KB BREAKER" xfId="2225"/>
    <cellStyle name="_SS WISE 11KB BREAKER_JGY BM Cross FDR" xfId="2226"/>
    <cellStyle name="_ss%20consumption%20COplm" xfId="2227"/>
    <cellStyle name="_ss%20consumption%20COplm_JGY BM Cross FDR" xfId="2228"/>
    <cellStyle name="_ss%20consumption%20COplm_S-S conumption under Mehana Zone modified" xfId="2229"/>
    <cellStyle name="_Sub-station auxilary consumption detail of Gondal circle" xfId="2230"/>
    <cellStyle name="_Sub-station auxilary consumption detail of Gondal circle_JGY BM Cross FDR" xfId="2231"/>
    <cellStyle name="_T&amp;D Losses-ss &amp; EHT March. 06 prepared in April. 06" xfId="2232"/>
    <cellStyle name="_T&amp;D Losses-ss &amp; EHT March. 06 prepared in April. 06_JGY BM Cross FDR" xfId="2233"/>
    <cellStyle name="_T_D_of_SS_Exp_Fdr_for_APRIL-06" xfId="2234"/>
    <cellStyle name="_T_D_of_SS_Exp_Fdr_for_APRIL-06_JGY BM Cross FDR" xfId="2235"/>
    <cellStyle name="_T_D_of_SS_Exp_Fdr_for_MARCH-06" xfId="2236"/>
    <cellStyle name="_T_D_of_SS_Exp_Fdr_for_MARCH-06_JGY BM Cross FDR" xfId="2237"/>
    <cellStyle name="_T_D_of_SS_Exp_Fdr_for_MAY-06" xfId="2238"/>
    <cellStyle name="_T_D_of_SS_Exp_Fdr_for_MAY-06_JGY BM Cross FDR" xfId="2239"/>
    <cellStyle name="_TR PATAN" xfId="2240"/>
    <cellStyle name="_TR PATAN_JGY BM Cross FDR" xfId="2241"/>
    <cellStyle name="_TSA AS PER CEA Jan.-08 JTP" xfId="2242"/>
    <cellStyle name="_TSA AS PER CEA Jan.-08 JTP_JGY BM Cross FDR" xfId="2243"/>
    <cellStyle name="_TT  PF  0.9 PF CO MARCH 08" xfId="2244"/>
    <cellStyle name="_TT  PF  0.9 PF CO MARCH 08_JGY BM Cross FDR" xfId="2245"/>
    <cellStyle name="_TT PF PLN TR CO ORDINATION" xfId="2246"/>
    <cellStyle name="_TT PF PLN TR CO ORDINATION_JGY BM Cross FDR" xfId="2247"/>
    <cellStyle name="_UGVCL" xfId="2248"/>
    <cellStyle name="_UGVCL_cum-JUL09" xfId="2249"/>
    <cellStyle name="_UGVCL_cum-JUN09" xfId="2250"/>
    <cellStyle name="_UGVCL_cum-NOV09" xfId="2251"/>
    <cellStyle name="_UGVCL_cum-OCT09" xfId="2252"/>
    <cellStyle name="_UGVCL_cum-SEP09" xfId="2253"/>
    <cellStyle name="_UGVCL_Format mat req 08-09" xfId="2254"/>
    <cellStyle name="_UGVCL_LOSS DATA NOV-09" xfId="2255"/>
    <cellStyle name="_UGVCL_loss projection" xfId="2256"/>
    <cellStyle name="_UGVCL_se conf tnd compr" xfId="2257"/>
    <cellStyle name="_Uncomissioned  X'mer and Equipment" xfId="2258"/>
    <cellStyle name="_Uncomissioned  X'mer and Equipment_JGY BM Cross FDR" xfId="2259"/>
    <cellStyle name="_Updated format of EBC 29.10.04" xfId="2260"/>
    <cellStyle name="_Updated format of EBC 29.10.04_cum-JUL09" xfId="2261"/>
    <cellStyle name="_Updated format of EBC 29.10.04_cum-JUN09" xfId="2262"/>
    <cellStyle name="_Updated format of EBC 29.10.04_cum-NOV09" xfId="2263"/>
    <cellStyle name="_Updated format of EBC 29.10.04_cum-OCT09" xfId="2264"/>
    <cellStyle name="_Updated format of EBC 29.10.04_cum-SEP09" xfId="2265"/>
    <cellStyle name="_Updated format of EBC 29.10.04_Format mat req 08-09" xfId="2266"/>
    <cellStyle name="_Updated format of EBC 29.10.04_LOSS DATA NOV-09" xfId="2267"/>
    <cellStyle name="_Updated format of EBC 29.10.04_loss projection" xfId="2268"/>
    <cellStyle name="_Updated format of EBC 29.10.04_se conf tnd compr" xfId="2269"/>
    <cellStyle name="_Updated format of EBC Jan.05" xfId="2270"/>
    <cellStyle name="_Updated format of EBC Jan.05_cum-JUL09" xfId="2271"/>
    <cellStyle name="_Updated format of EBC Jan.05_cum-JUN09" xfId="2272"/>
    <cellStyle name="_Updated format of EBC Jan.05_cum-NOV09" xfId="2273"/>
    <cellStyle name="_Updated format of EBC Jan.05_cum-OCT09" xfId="2274"/>
    <cellStyle name="_Updated format of EBC Jan.05_cum-SEP09" xfId="2275"/>
    <cellStyle name="_Updated format of EBC Jan.05_Format mat req 08-09" xfId="2276"/>
    <cellStyle name="_Updated format of EBC Jan.05_LOSS DATA NOV-09" xfId="2277"/>
    <cellStyle name="_Updated format of EBC Jan.05_loss projection" xfId="2278"/>
    <cellStyle name="_Updated format of EBC Jan.05_se conf tnd compr" xfId="2279"/>
    <cellStyle name="_Weekly Coastal 11.08.08" xfId="2280"/>
    <cellStyle name="_Weekly Coastal 11.08.08_JGY BM Cross FDR" xfId="2281"/>
    <cellStyle name="_Weekly Coastal PGVCL 01.06.09" xfId="2282"/>
    <cellStyle name="_Weekly Coastal PGVCL 09.06.08 (1)" xfId="2283"/>
    <cellStyle name="_Weekly Coastal PGVCL 09.06.08 (1)_JGY BM Cross FDR" xfId="2284"/>
    <cellStyle name="_Weekly Coastal PGVCL 12.01.09" xfId="2285"/>
    <cellStyle name="_Weekly Coastal PGVCL 12.01.09_JGY BM Cross FDR" xfId="2286"/>
    <cellStyle name="_Weekly Coastal PGVCL 13.10.08" xfId="2287"/>
    <cellStyle name="_Weekly Coastal PGVCL 13.10.08_JGY BM Cross FDR" xfId="2288"/>
    <cellStyle name="_Weekly Coastal PGVCL 17.08.09" xfId="2289"/>
    <cellStyle name="_Weekly Coastal PGVCL 23.03.09(LACS)" xfId="2290"/>
    <cellStyle name="_Weekly Coastal PGVCL 23.03.09(LACS)_JGY BM Cross FDR" xfId="2291"/>
    <cellStyle name="_work progress sheet" xfId="2292"/>
    <cellStyle name="_work progress sheet_JGY BM Cross FDR" xfId="2293"/>
    <cellStyle name="•W€_G7ATD" xfId="2294"/>
    <cellStyle name="AAA" xfId="2295"/>
    <cellStyle name="AeE­ [0]_INQUIRY ¿μ¾÷AßAø " xfId="2296"/>
    <cellStyle name="AeE­_INQUIRY ¿μ¾÷AßAø " xfId="2297"/>
    <cellStyle name="AÞ¸¶ [0]_INQUIRY ¿?¾÷AßAø " xfId="2298"/>
    <cellStyle name="AÞ¸¶_INQUIRY ¿?¾÷AßAø " xfId="2299"/>
    <cellStyle name="Black" xfId="2300"/>
    <cellStyle name="Black 1" xfId="2301"/>
    <cellStyle name="Black_Accident - 2007-08 + 2008-09 -- 15.12.08" xfId="2302"/>
    <cellStyle name="Body" xfId="2303"/>
    <cellStyle name="Border" xfId="2304"/>
    <cellStyle name="Border 1" xfId="2305"/>
    <cellStyle name="Border 2" xfId="2306"/>
    <cellStyle name="Border_&gt;5" xfId="2307"/>
    <cellStyle name="C?AØ_¿?¾÷CoE² " xfId="2308"/>
    <cellStyle name="C¥AØ_¿?¾÷CoE² " xfId="2309"/>
    <cellStyle name="C￥AØ_¿μ¾÷CoE² " xfId="2310"/>
    <cellStyle name="Comma  - Style1" xfId="2311"/>
    <cellStyle name="Comma  - Style1 1" xfId="2312"/>
    <cellStyle name="Comma  - Style1 2" xfId="2313"/>
    <cellStyle name="Comma  - Style1_&gt;5" xfId="2314"/>
    <cellStyle name="Comma  - Style2" xfId="2315"/>
    <cellStyle name="Comma  - Style2 1" xfId="2316"/>
    <cellStyle name="Comma  - Style2 2" xfId="2317"/>
    <cellStyle name="Comma  - Style2_&gt;5" xfId="2318"/>
    <cellStyle name="Comma  - Style3" xfId="2319"/>
    <cellStyle name="Comma  - Style3 1" xfId="2320"/>
    <cellStyle name="Comma  - Style3 2" xfId="2321"/>
    <cellStyle name="Comma  - Style3_&gt;5" xfId="2322"/>
    <cellStyle name="Comma  - Style4" xfId="2323"/>
    <cellStyle name="Comma  - Style4 1" xfId="2324"/>
    <cellStyle name="Comma  - Style4 2" xfId="2325"/>
    <cellStyle name="Comma  - Style4_&gt;5" xfId="2326"/>
    <cellStyle name="Comma  - Style5" xfId="2327"/>
    <cellStyle name="Comma  - Style5 1" xfId="2328"/>
    <cellStyle name="Comma  - Style5 2" xfId="2329"/>
    <cellStyle name="Comma  - Style5_&gt;5" xfId="2330"/>
    <cellStyle name="Comma  - Style6" xfId="2331"/>
    <cellStyle name="Comma  - Style6 1" xfId="2332"/>
    <cellStyle name="Comma  - Style6 2" xfId="2333"/>
    <cellStyle name="Comma  - Style6_&gt;5" xfId="2334"/>
    <cellStyle name="Comma  - Style7" xfId="2335"/>
    <cellStyle name="Comma  - Style7 1" xfId="2336"/>
    <cellStyle name="Comma  - Style7 2" xfId="2337"/>
    <cellStyle name="Comma  - Style7_&gt;5" xfId="2338"/>
    <cellStyle name="Comma  - Style8" xfId="2339"/>
    <cellStyle name="Comma  - Style8 1" xfId="2340"/>
    <cellStyle name="Comma  - Style8 2" xfId="2341"/>
    <cellStyle name="Comma  - Style8_&gt;5" xfId="2342"/>
    <cellStyle name="Comma 10" xfId="2343"/>
    <cellStyle name="Comma 2" xfId="2344"/>
    <cellStyle name="Comma 2 2" xfId="2345"/>
    <cellStyle name="Comma 2_ag wkly" xfId="2346"/>
    <cellStyle name="Comma 3" xfId="2347"/>
    <cellStyle name="Comma 4" xfId="2348"/>
    <cellStyle name="Comma 5" xfId="2349"/>
    <cellStyle name="Comma 6" xfId="2350"/>
    <cellStyle name="Comma 7" xfId="2351"/>
    <cellStyle name="Comma 8" xfId="2352"/>
    <cellStyle name="Comma 9" xfId="2353"/>
    <cellStyle name="Comma0" xfId="2354"/>
    <cellStyle name="Comma0 1" xfId="2355"/>
    <cellStyle name="Comma0_&gt;5" xfId="2356"/>
    <cellStyle name="Currency0" xfId="2357"/>
    <cellStyle name="Currency0 1" xfId="2358"/>
    <cellStyle name="Currency0 2" xfId="2359"/>
    <cellStyle name="Currency0_&gt;5" xfId="2360"/>
    <cellStyle name="Custom - Style8" xfId="2361"/>
    <cellStyle name="Date" xfId="2362"/>
    <cellStyle name="Date 1" xfId="2363"/>
    <cellStyle name="Date_&gt;5" xfId="2364"/>
    <cellStyle name="deep" xfId="2365"/>
    <cellStyle name="Dezimal [0]_laroux" xfId="2366"/>
    <cellStyle name="Dezimal_laroux" xfId="2367"/>
    <cellStyle name="Euro" xfId="2368"/>
    <cellStyle name="Euro 1" xfId="2369"/>
    <cellStyle name="Euro 2" xfId="2370"/>
    <cellStyle name="Euro_&gt;5" xfId="2371"/>
    <cellStyle name="Excel Built-in Normal" xfId="2372"/>
    <cellStyle name="Fixed" xfId="2373"/>
    <cellStyle name="Fixed 1" xfId="2374"/>
    <cellStyle name="Fixed_&gt;5" xfId="2375"/>
    <cellStyle name="Formula" xfId="2376"/>
    <cellStyle name="Formula 1" xfId="2377"/>
    <cellStyle name="Formula 2" xfId="2378"/>
    <cellStyle name="Formula_&gt;5" xfId="2379"/>
    <cellStyle name="Grey" xfId="2380"/>
    <cellStyle name="Grey 1" xfId="2381"/>
    <cellStyle name="Grey_&gt;5" xfId="2382"/>
    <cellStyle name="Head 1" xfId="2383"/>
    <cellStyle name="Header1" xfId="2384"/>
    <cellStyle name="Header1 1" xfId="2385"/>
    <cellStyle name="Header1_&gt;5" xfId="2386"/>
    <cellStyle name="Header2" xfId="2387"/>
    <cellStyle name="Header2 1" xfId="2388"/>
    <cellStyle name="Header2_&gt;5" xfId="2389"/>
    <cellStyle name="Heading 1 1" xfId="2390"/>
    <cellStyle name="Heading 1 10" xfId="2391"/>
    <cellStyle name="Heading 1 2" xfId="2392"/>
    <cellStyle name="Heading 1 3" xfId="2393"/>
    <cellStyle name="Heading 1 4" xfId="2394"/>
    <cellStyle name="Heading 1 5" xfId="2395"/>
    <cellStyle name="Heading 1 6" xfId="2396"/>
    <cellStyle name="Heading 1 7" xfId="2397"/>
    <cellStyle name="Heading 1 8" xfId="2398"/>
    <cellStyle name="Heading 1 9" xfId="2399"/>
    <cellStyle name="Heading 2 1" xfId="2400"/>
    <cellStyle name="Heading 2 10" xfId="2401"/>
    <cellStyle name="Heading 2 2" xfId="2402"/>
    <cellStyle name="Heading 2 3" xfId="2403"/>
    <cellStyle name="Heading 2 4" xfId="2404"/>
    <cellStyle name="Heading 2 5" xfId="2405"/>
    <cellStyle name="Heading 2 6" xfId="2406"/>
    <cellStyle name="Heading 2 7" xfId="2407"/>
    <cellStyle name="Heading 2 8" xfId="2408"/>
    <cellStyle name="Heading 2 9" xfId="2409"/>
    <cellStyle name="Hyperlink 2" xfId="2515"/>
    <cellStyle name="Hypertextový odkaz" xfId="2410"/>
    <cellStyle name="Hypertextový odkaz 1" xfId="2411"/>
    <cellStyle name="Hypertextový odkaz 2" xfId="2412"/>
    <cellStyle name="Hypertextový odkaz_01-07-09-TRANSFORMER" xfId="2413"/>
    <cellStyle name="Input [yellow]" xfId="2414"/>
    <cellStyle name="Input [yellow] 1" xfId="2415"/>
    <cellStyle name="Input [yellow]_&gt;5" xfId="2416"/>
    <cellStyle name="Milliers [0]_laroux" xfId="2417"/>
    <cellStyle name="Milliers_laroux" xfId="2418"/>
    <cellStyle name="no dec" xfId="2419"/>
    <cellStyle name="no dec 1" xfId="2420"/>
    <cellStyle name="no dec 2" xfId="2421"/>
    <cellStyle name="no dec_01-07-09-TRANSFORMER" xfId="2422"/>
    <cellStyle name="Non défini" xfId="2423"/>
    <cellStyle name="Non défini 1" xfId="2424"/>
    <cellStyle name="Non défini 2" xfId="2425"/>
    <cellStyle name="Non défini_&gt;5" xfId="2426"/>
    <cellStyle name="Normal" xfId="0" builtinId="0"/>
    <cellStyle name="Normal - Style1" xfId="2427"/>
    <cellStyle name="Normal - Style1 1" xfId="2428"/>
    <cellStyle name="Normal - Style1 2" xfId="2429"/>
    <cellStyle name="Normal - Style1_&gt;5" xfId="2430"/>
    <cellStyle name="Normal 10" xfId="2431"/>
    <cellStyle name="Normal 11" xfId="2432"/>
    <cellStyle name="Normal 12" xfId="2433"/>
    <cellStyle name="Normal 13" xfId="2434"/>
    <cellStyle name="Normal 14" xfId="2435"/>
    <cellStyle name="Normal 15" xfId="2436"/>
    <cellStyle name="Normal 16" xfId="2516"/>
    <cellStyle name="Normal 2" xfId="1"/>
    <cellStyle name="Normal 2 2" xfId="2437"/>
    <cellStyle name="Normal 2 2 2" xfId="2438"/>
    <cellStyle name="Normal 2 2_Comp-Temp" xfId="2439"/>
    <cellStyle name="Normal 2 3" xfId="2440"/>
    <cellStyle name="Normal 2 4" xfId="2441"/>
    <cellStyle name="Normal 2 5" xfId="2442"/>
    <cellStyle name="Normal 2 5 2" xfId="2443"/>
    <cellStyle name="Normal 2 5 2 2" xfId="2444"/>
    <cellStyle name="Normal 2 5 2 3" xfId="2445"/>
    <cellStyle name="Normal 2 5 2_24 hrs  Village detail from GUVNL-UPDATED" xfId="2446"/>
    <cellStyle name="Normal 2 5 3" xfId="2447"/>
    <cellStyle name="Normal 2 5_24 hrs  Village detail from GUVNL-UPDATED" xfId="2448"/>
    <cellStyle name="Normal 2_01-07-09-TRANSFORMER" xfId="2449"/>
    <cellStyle name="Normal 3" xfId="4"/>
    <cellStyle name="Normal 3 2" xfId="2450"/>
    <cellStyle name="Normal 3 2 2" xfId="2517"/>
    <cellStyle name="Normal 3 2 2 2" xfId="2518"/>
    <cellStyle name="Normal 3 2 3" xfId="2519"/>
    <cellStyle name="Normal 3 3" xfId="2520"/>
    <cellStyle name="Normal 3 3 2" xfId="2521"/>
    <cellStyle name="Normal 3 3 2 2" xfId="2522"/>
    <cellStyle name="Normal 3 3 3" xfId="2523"/>
    <cellStyle name="Normal 3 4" xfId="2524"/>
    <cellStyle name="Normal 3 4 2" xfId="2525"/>
    <cellStyle name="Normal 3 5" xfId="2526"/>
    <cellStyle name="Normal 3_Scheme MOSE-13-8-09 data up to July-09" xfId="2451"/>
    <cellStyle name="Normal 4" xfId="2452"/>
    <cellStyle name="Normal 4 2" xfId="2453"/>
    <cellStyle name="Normal 4_point 6. dis" xfId="2454"/>
    <cellStyle name="Normal 5" xfId="2455"/>
    <cellStyle name="Normal 6" xfId="2456"/>
    <cellStyle name="Normal 68" xfId="2457"/>
    <cellStyle name="Normal 7" xfId="2458"/>
    <cellStyle name="Normal 7 2" xfId="2527"/>
    <cellStyle name="Normal 7 2 2" xfId="2528"/>
    <cellStyle name="Normal 7 2 2 2" xfId="2529"/>
    <cellStyle name="Normal 7 2 3" xfId="2530"/>
    <cellStyle name="Normal 7 3" xfId="2531"/>
    <cellStyle name="Normal 7 3 2" xfId="2532"/>
    <cellStyle name="Normal 7 4" xfId="2533"/>
    <cellStyle name="Normal 8" xfId="2459"/>
    <cellStyle name="Normal 9" xfId="2460"/>
    <cellStyle name="Normal 9 2" xfId="2534"/>
    <cellStyle name="Normal 9 2 2" xfId="2535"/>
    <cellStyle name="Normal 9 3" xfId="2536"/>
    <cellStyle name="Note 10" xfId="2461"/>
    <cellStyle name="Note 2" xfId="2462"/>
    <cellStyle name="Note 3" xfId="2463"/>
    <cellStyle name="Note 4" xfId="2464"/>
    <cellStyle name="Note 5" xfId="2465"/>
    <cellStyle name="Note 6" xfId="2466"/>
    <cellStyle name="Note 7" xfId="2467"/>
    <cellStyle name="Note 8" xfId="2468"/>
    <cellStyle name="Note 9" xfId="2469"/>
    <cellStyle name="Percent" xfId="2" builtinId="5"/>
    <cellStyle name="Percent [2]" xfId="2470"/>
    <cellStyle name="Percent [2] 1" xfId="2471"/>
    <cellStyle name="Percent [2] 2" xfId="2472"/>
    <cellStyle name="Percent [2]_&gt;5" xfId="2473"/>
    <cellStyle name="Percent 2" xfId="3"/>
    <cellStyle name="Percent 2 2" xfId="2474"/>
    <cellStyle name="Percent 2_24 hrs  Village detail from GUVNL-UPDATED" xfId="2475"/>
    <cellStyle name="Percent 3" xfId="2476"/>
    <cellStyle name="Popis" xfId="2477"/>
    <cellStyle name="Popis 1" xfId="2478"/>
    <cellStyle name="Popis_&gt;5" xfId="2479"/>
    <cellStyle name="Red" xfId="2480"/>
    <cellStyle name="Red 1" xfId="2481"/>
    <cellStyle name="Red_Accident - 2007-08 + 2008-09 -- 15.12.08" xfId="2482"/>
    <cellStyle name="RRG" xfId="2483"/>
    <cellStyle name="Sledovaný hypertextový odkaz" xfId="2484"/>
    <cellStyle name="Sledovaný hypertextový odkaz 1" xfId="2485"/>
    <cellStyle name="Sledovaný hypertextový odkaz 2" xfId="2486"/>
    <cellStyle name="Sledovaný hypertextový odkaz_&gt;5" xfId="2487"/>
    <cellStyle name="Style 1" xfId="2488"/>
    <cellStyle name="Style 1 2" xfId="2489"/>
    <cellStyle name="Style 1 3" xfId="2490"/>
    <cellStyle name="Style 1_03.03.09 Accd, Coastal" xfId="2491"/>
    <cellStyle name="Total 1" xfId="2492"/>
    <cellStyle name="Total 10" xfId="2493"/>
    <cellStyle name="Total 2" xfId="2494"/>
    <cellStyle name="Total 3" xfId="2495"/>
    <cellStyle name="Total 4" xfId="2496"/>
    <cellStyle name="Total 5" xfId="2497"/>
    <cellStyle name="Total 6" xfId="2498"/>
    <cellStyle name="Total 7" xfId="2499"/>
    <cellStyle name="Total 8" xfId="2500"/>
    <cellStyle name="Total 9" xfId="2501"/>
    <cellStyle name="Währung [0]_RESULTS" xfId="2502"/>
    <cellStyle name="Währung_RESULTS" xfId="2503"/>
    <cellStyle name="똿뗦먛귟 [0.00]_PRODUCT DETAIL Q1" xfId="2504"/>
    <cellStyle name="똿뗦먛귟_PRODUCT DETAIL Q1" xfId="2505"/>
    <cellStyle name="믅됞 [0.00]_PRODUCT DETAIL Q1" xfId="2506"/>
    <cellStyle name="믅됞_PRODUCT DETAIL Q1" xfId="2507"/>
    <cellStyle name="백분율_HOBONG" xfId="2508"/>
    <cellStyle name="뷭?_BOOKSHIP" xfId="2509"/>
    <cellStyle name="콤마 [0]_1202" xfId="2510"/>
    <cellStyle name="콤마_1202" xfId="2511"/>
    <cellStyle name="통화 [0]_1202" xfId="2512"/>
    <cellStyle name="통화_1202" xfId="2513"/>
    <cellStyle name="표준_(정보부문)월별인원계획" xfId="251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externalLink" Target="externalLinks/externalLink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icomp1\c\rrs\SBM\Mpzp12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c\GANESHA\GANESHA1\MIS2\GEB_Anand\SHP_TD_0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icomp1\c\WINDOWS\Desktop\GANESHA\SHP_TD_0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icomp1\c\ndb\MIS_CO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icomp1\c\WINDOWS\Desktop\GANESHA\ST\st\s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1\c\GANESHA\GANESHA1\MIS2\GEB_Anand\ST\st\s1.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ggy-mpmla"/>
      <sheetName val="GOKUL"/>
      <sheetName val="yw mpmlaws sumary"/>
      <sheetName val="mpmla WC_01_02 "/>
      <sheetName val="mpmla wise pp01_02"/>
      <sheetName val="KJ-Patrak-2"/>
      <sheetName val="zp01_02_SPILL"/>
      <sheetName val="ZP01_02SPILL_TALWISE"/>
      <sheetName val="ZPA01"/>
      <sheetName val="ZP URBAN IV_V"/>
      <sheetName val="ZP PROF II"/>
      <sheetName val="ZP PROF III "/>
      <sheetName val="ZP APR 00"/>
      <sheetName val="zpmar00"/>
      <sheetName val="mpmla wise pp0001 sort march"/>
      <sheetName val="mpmla wise pp0001 (2)"/>
      <sheetName val="mpwc0001"/>
      <sheetName val="zp0001_MAR"/>
      <sheetName val="zp0001spil_MAR01"/>
      <sheetName val="mpmla wise pp01_02 sept"/>
      <sheetName val="mpmla wise pp01_02 sept_distws"/>
      <sheetName val="mpmla wise pp01_02 nov"/>
      <sheetName val="mpmla wise pp01_02 Dec"/>
      <sheetName val="Sheet1"/>
      <sheetName val="zpF0001"/>
      <sheetName val="mpmla wise pp0001"/>
      <sheetName val="mpmla wise pp02_03"/>
      <sheetName val="shp_T&amp;D_drive"/>
      <sheetName val="TLPPOCT"/>
      <sheetName val="R2-S1-mthws-prog"/>
      <sheetName val="LMAIN"/>
      <sheetName val="shp_T_D_drive"/>
      <sheetName val="RE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p_T_D_drive"/>
      <sheetName val="do"/>
      <sheetName val="shp_T&amp;D_drive"/>
      <sheetName val="shp_T&amp;D_drive (2)"/>
      <sheetName val="shp_sch"/>
      <sheetName val="And_City"/>
      <sheetName val="shp_td-comp sep"/>
      <sheetName val="Chart1"/>
      <sheetName val="Chart2"/>
      <sheetName val="Shp-25 fdrs comp sep"/>
      <sheetName val="shp_divisionwise_units"/>
      <sheetName val="shp_divisionwise_units jul-00  "/>
      <sheetName val="Shp-sdn wise data  s"/>
      <sheetName val="Shp-25 fdrs data  s"/>
      <sheetName val="Shp-sdn wise_GIDC Sep"/>
      <sheetName val="Shp-sdn wise_ind fdrs sep"/>
      <sheetName val="shp_urb_tst"/>
      <sheetName val="Shp-sdn wise_Urban fdrs"/>
      <sheetName val="Chart6"/>
      <sheetName val="Revenue Data"/>
      <sheetName val="Revenue Data (2)"/>
      <sheetName val="Chart8"/>
      <sheetName val="Revenue Data (3)"/>
      <sheetName val="Chart9"/>
      <sheetName val="Revenue Data (4)"/>
      <sheetName val="consumers"/>
      <sheetName val="shp_T&amp;D_drive (3)"/>
      <sheetName val="shp_T&amp;D_drive 15_sep"/>
      <sheetName val="shp_T&amp;D_drive 15_sep (2)"/>
      <sheetName val="mpmla wise pp01_02"/>
      <sheetName val="mpmla wise pp0001"/>
      <sheetName val="zpF0001"/>
      <sheetName val="Recovered_Sheet5"/>
      <sheetName val="LMAIN"/>
      <sheetName val="TLPPOCT"/>
      <sheetName val="mpmla wise pp02_03"/>
      <sheetName val="SuvP_Ltg_Catwise"/>
      <sheetName val="PP_Ltg_Catwise"/>
      <sheetName val="SuvP_Ind_Catwise "/>
      <sheetName val="PP_Ind_Catwise "/>
      <sheetName val="CDSteelMaster"/>
      <sheetName val="MTHWISE FAIL"/>
      <sheetName val="PASTE"/>
      <sheetName val="REF"/>
      <sheetName val="ATCFMPAPR-16 (mod)"/>
      <sheetName val="ATCFMPMAY-15 (mod)"/>
      <sheetName val="ATCFMPMAY-16 (mod)"/>
      <sheetName val="SDN-Catwise  (MOD) "/>
      <sheetName val="SDN-Catwise  (MOD)HTADV.BILLING"/>
      <sheetName val="ZP01_02SPILL_TALWISE"/>
      <sheetName val="HTVR CO_"/>
      <sheetName val="PRO_39_C"/>
      <sheetName val="SHP_TD_00"/>
      <sheetName val="T_D COMP"/>
      <sheetName val="Sheet2"/>
      <sheetName val="Book1"/>
      <sheetName val="FDR MST"/>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p_T_D_drive"/>
      <sheetName val="do"/>
      <sheetName val="shp_T&amp;D_drive"/>
      <sheetName val="shp_T&amp;D_drive (2)"/>
      <sheetName val="shp_sch"/>
      <sheetName val="And_City"/>
      <sheetName val="shp_td-comp sep"/>
      <sheetName val="Chart1"/>
      <sheetName val="Chart2"/>
      <sheetName val="Shp-25 fdrs comp sep"/>
      <sheetName val="shp_divisionwise_units"/>
      <sheetName val="shp_divisionwise_units jul-00  "/>
      <sheetName val="Shp-sdn wise data  s"/>
      <sheetName val="Shp-25 fdrs data  s"/>
      <sheetName val="Shp-sdn wise_GIDC Sep"/>
      <sheetName val="Shp-sdn wise_ind fdrs sep"/>
      <sheetName val="shp_urb_tst"/>
      <sheetName val="Shp-sdn wise_Urban fdrs"/>
      <sheetName val="Chart6"/>
      <sheetName val="Revenue Data"/>
      <sheetName val="Revenue Data (2)"/>
      <sheetName val="Chart8"/>
      <sheetName val="Revenue Data (3)"/>
      <sheetName val="Chart9"/>
      <sheetName val="Revenue Data (4)"/>
      <sheetName val="consumers"/>
      <sheetName val="shp_T&amp;D_drive (3)"/>
      <sheetName val="shp_T&amp;D_drive 15_sep"/>
      <sheetName val="shp_T&amp;D_drive 15_sep (2)"/>
      <sheetName val="mpmla wise pp01_02"/>
      <sheetName val="T_D COMP"/>
      <sheetName val="LMAIN"/>
      <sheetName val="R2-S1-mthws-prog"/>
      <sheetName val="TLPPOCT"/>
      <sheetName val="zpF0001"/>
      <sheetName val="locationwise activities"/>
      <sheetName val="zp0001_MAR"/>
      <sheetName val="mpmla wise pp0001"/>
      <sheetName val="TALUKA Wise"/>
      <sheetName val="Recovered_Sheet5"/>
      <sheetName val="mpmla wise paid pending"/>
      <sheetName val="117"/>
      <sheetName val="mpmla wise pp02_03"/>
      <sheetName val="SuvP_Ltg_Catwise"/>
      <sheetName val="PP_Ltg_Catwise"/>
      <sheetName val="SuvP_Ind_Catwise "/>
      <sheetName val="PP_Ind_Catwise "/>
      <sheetName val="LOOKUPS"/>
      <sheetName val="FDR MST"/>
      <sheetName val="CDSteelMaster"/>
      <sheetName val="METRE ON UM CONN"/>
      <sheetName val="D'BARIA CTY"/>
      <sheetName val="PIPLOD"/>
      <sheetName val="Motizari JGY"/>
      <sheetName val="Toyani JGY "/>
      <sheetName val="Rama JGY "/>
      <sheetName val="BAKROL"/>
      <sheetName val="NAGVAV"/>
      <sheetName val="RICHWANI"/>
      <sheetName val="Salia AG"/>
      <sheetName val="Kaliyakota AG"/>
      <sheetName val="GUNA AG"/>
      <sheetName val="GOLLAV"/>
      <sheetName val="JUNA BARIA"/>
      <sheetName val=" FANGIA JGY"/>
      <sheetName val="SEVANIYA JGY"/>
      <sheetName val=" BARA JGY"/>
      <sheetName val="Bamroli AG"/>
      <sheetName val="Vadbhet AG"/>
      <sheetName val="Kelkuwa AG"/>
      <sheetName val="Sheet1"/>
      <sheetName val="COST ESTI.14B"/>
      <sheetName val="SUB DN TS"/>
      <sheetName val="PROF.14"/>
      <sheetName val="CHECK LIST"/>
      <sheetName val="MATERIAL REQUIRE"/>
      <sheetName val="DIVN. T.S."/>
      <sheetName val="GUNA"/>
      <sheetName val="Office Note HT ABC 1"/>
    </sheetNames>
    <sheetDataSet>
      <sheetData sheetId="0" refreshError="1">
        <row r="1">
          <cell r="A1" t="str">
            <v>Annexure - A</v>
          </cell>
        </row>
        <row r="2">
          <cell r="A2" t="str">
            <v>Fortnightlyreport regarding action taken on feeders selected for reducing T&amp;D losses</v>
          </cell>
        </row>
        <row r="3">
          <cell r="S3" t="str">
            <v/>
          </cell>
        </row>
        <row r="5">
          <cell r="A5" t="str">
            <v>Sr No</v>
          </cell>
          <cell r="B5" t="str">
            <v>Division</v>
          </cell>
          <cell r="C5" t="str">
            <v>Sub-Division</v>
          </cell>
          <cell r="D5" t="str">
            <v>Feeder</v>
          </cell>
          <cell r="E5" t="str">
            <v>Category</v>
          </cell>
          <cell r="F5" t="str">
            <v xml:space="preserve">Length of Feeder </v>
          </cell>
          <cell r="H5" t="str">
            <v>No of T/C</v>
          </cell>
          <cell r="I5" t="str">
            <v>Size of Conductor</v>
          </cell>
          <cell r="J5" t="str">
            <v>Ampere Loading</v>
          </cell>
          <cell r="K5" t="str">
            <v>No of Consumers</v>
          </cell>
          <cell r="M5" t="str">
            <v>PMT Date</v>
          </cell>
          <cell r="N5" t="str">
            <v>Providing MMB</v>
          </cell>
          <cell r="P5" t="str">
            <v>Sealing of Meter &amp; MMb</v>
          </cell>
          <cell r="R5" t="str">
            <v>Replacement of NWM</v>
          </cell>
          <cell r="T5" t="str">
            <v>Installation Checking</v>
          </cell>
          <cell r="V5" t="str">
            <v>CT operated meter testing</v>
          </cell>
          <cell r="W5" t="str">
            <v>Capacitor Checking of MP consumers</v>
          </cell>
          <cell r="X5" t="str">
            <v>Maintenance of T/C &amp; Dist. Box</v>
          </cell>
          <cell r="Y5" t="str">
            <v>No of Checks on MR's reading</v>
          </cell>
          <cell r="Z5" t="str">
            <v>Maintenance of Line</v>
          </cell>
          <cell r="AB5" t="str">
            <v>Theo % loss</v>
          </cell>
          <cell r="AC5" t="str">
            <v>% loss 99-00</v>
          </cell>
          <cell r="AD5" t="str">
            <v>% loss cumu of 00-01.</v>
          </cell>
          <cell r="AE5" t="str">
            <v>Remarks</v>
          </cell>
        </row>
        <row r="6">
          <cell r="F6" t="str">
            <v>HT</v>
          </cell>
          <cell r="G6" t="str">
            <v>LT</v>
          </cell>
          <cell r="J6" t="str">
            <v>max</v>
          </cell>
          <cell r="K6" t="str">
            <v>1-Ph</v>
          </cell>
          <cell r="L6" t="str">
            <v>3-Ph</v>
          </cell>
          <cell r="N6" t="str">
            <v>1-Ph</v>
          </cell>
          <cell r="O6" t="str">
            <v>3-Ph</v>
          </cell>
          <cell r="P6" t="str">
            <v>1-Ph</v>
          </cell>
          <cell r="Q6" t="str">
            <v>3-Ph</v>
          </cell>
          <cell r="R6" t="str">
            <v>1-Ph</v>
          </cell>
          <cell r="S6" t="str">
            <v>3-Ph</v>
          </cell>
          <cell r="T6" t="str">
            <v>1-Ph</v>
          </cell>
          <cell r="U6" t="str">
            <v>3-Ph</v>
          </cell>
          <cell r="Z6" t="str">
            <v>HT</v>
          </cell>
          <cell r="AA6" t="str">
            <v>LT</v>
          </cell>
        </row>
        <row r="7">
          <cell r="A7" t="str">
            <v>1</v>
          </cell>
          <cell r="B7" t="str">
            <v>Anand</v>
          </cell>
          <cell r="C7" t="str">
            <v>Borsad (R)</v>
          </cell>
          <cell r="D7" t="str">
            <v>ONGC</v>
          </cell>
          <cell r="E7" t="str">
            <v>Ind LT</v>
          </cell>
          <cell r="F7">
            <v>4.5</v>
          </cell>
          <cell r="G7">
            <v>10.5</v>
          </cell>
          <cell r="H7">
            <v>19</v>
          </cell>
          <cell r="I7" t="str">
            <v>50 mm 2 ACSR</v>
          </cell>
          <cell r="J7">
            <v>25</v>
          </cell>
          <cell r="K7">
            <v>242</v>
          </cell>
          <cell r="L7">
            <v>34</v>
          </cell>
          <cell r="M7" t="str">
            <v>17.03.00</v>
          </cell>
          <cell r="N7">
            <v>217</v>
          </cell>
          <cell r="O7">
            <v>34</v>
          </cell>
          <cell r="P7">
            <v>202</v>
          </cell>
          <cell r="Q7">
            <v>34</v>
          </cell>
          <cell r="R7">
            <v>5</v>
          </cell>
          <cell r="S7">
            <v>1</v>
          </cell>
          <cell r="T7">
            <v>100</v>
          </cell>
          <cell r="U7">
            <v>21</v>
          </cell>
          <cell r="V7">
            <v>0</v>
          </cell>
          <cell r="W7">
            <v>0</v>
          </cell>
          <cell r="X7">
            <v>5</v>
          </cell>
          <cell r="Y7">
            <v>52</v>
          </cell>
          <cell r="Z7">
            <v>1.1000000000000001</v>
          </cell>
          <cell r="AA7">
            <v>3.4</v>
          </cell>
          <cell r="AB7">
            <v>8.6</v>
          </cell>
          <cell r="AC7">
            <v>21.09</v>
          </cell>
          <cell r="AD7">
            <v>31.96</v>
          </cell>
        </row>
        <row r="8">
          <cell r="A8" t="str">
            <v>2</v>
          </cell>
          <cell r="B8" t="str">
            <v>Anand</v>
          </cell>
          <cell r="C8" t="str">
            <v>Borsad (T)</v>
          </cell>
          <cell r="D8" t="str">
            <v>Borsad(T)</v>
          </cell>
          <cell r="E8" t="str">
            <v>Urban LT</v>
          </cell>
          <cell r="F8">
            <v>8</v>
          </cell>
          <cell r="G8">
            <v>41.25</v>
          </cell>
          <cell r="H8">
            <v>55</v>
          </cell>
          <cell r="I8" t="str">
            <v>50 mm 2 ACSR</v>
          </cell>
          <cell r="J8">
            <v>164</v>
          </cell>
          <cell r="K8">
            <v>8437</v>
          </cell>
          <cell r="L8">
            <v>225</v>
          </cell>
          <cell r="M8" t="str">
            <v>16.10.99</v>
          </cell>
          <cell r="N8">
            <v>3058</v>
          </cell>
          <cell r="O8">
            <v>200</v>
          </cell>
          <cell r="P8">
            <v>3925</v>
          </cell>
          <cell r="Q8">
            <v>200</v>
          </cell>
          <cell r="R8">
            <v>75</v>
          </cell>
          <cell r="S8">
            <v>4</v>
          </cell>
          <cell r="T8">
            <v>690</v>
          </cell>
          <cell r="U8">
            <v>0</v>
          </cell>
          <cell r="V8">
            <v>2</v>
          </cell>
          <cell r="W8">
            <v>0</v>
          </cell>
          <cell r="X8">
            <v>3</v>
          </cell>
          <cell r="Y8">
            <v>50</v>
          </cell>
          <cell r="Z8">
            <v>3</v>
          </cell>
          <cell r="AA8">
            <v>4</v>
          </cell>
          <cell r="AB8">
            <v>7.12</v>
          </cell>
          <cell r="AC8">
            <v>26.76</v>
          </cell>
          <cell r="AD8">
            <v>30.45</v>
          </cell>
        </row>
        <row r="9">
          <cell r="A9" t="str">
            <v>3</v>
          </cell>
          <cell r="B9" t="str">
            <v>Anand</v>
          </cell>
          <cell r="C9" t="str">
            <v>Umreth(R)</v>
          </cell>
          <cell r="D9" t="str">
            <v>Apar</v>
          </cell>
          <cell r="E9" t="str">
            <v>Urban Mx</v>
          </cell>
          <cell r="F9">
            <v>14.75</v>
          </cell>
          <cell r="G9">
            <v>17.8</v>
          </cell>
          <cell r="H9">
            <v>28</v>
          </cell>
          <cell r="I9" t="str">
            <v>50 mm 2 ACSR</v>
          </cell>
          <cell r="J9">
            <v>60</v>
          </cell>
          <cell r="K9">
            <v>1631</v>
          </cell>
          <cell r="L9">
            <v>98</v>
          </cell>
          <cell r="M9" t="str">
            <v>11.03.00</v>
          </cell>
          <cell r="N9">
            <v>1506</v>
          </cell>
          <cell r="O9">
            <v>98</v>
          </cell>
          <cell r="P9">
            <v>1006</v>
          </cell>
          <cell r="Q9">
            <v>88</v>
          </cell>
          <cell r="R9">
            <v>6</v>
          </cell>
          <cell r="S9">
            <v>2</v>
          </cell>
          <cell r="T9">
            <v>55</v>
          </cell>
          <cell r="U9">
            <v>12</v>
          </cell>
          <cell r="V9">
            <v>0</v>
          </cell>
          <cell r="W9">
            <v>12</v>
          </cell>
          <cell r="X9">
            <v>4</v>
          </cell>
          <cell r="Y9">
            <v>35</v>
          </cell>
          <cell r="Z9">
            <v>1.8</v>
          </cell>
          <cell r="AA9">
            <v>3.5</v>
          </cell>
          <cell r="AB9">
            <v>6.8</v>
          </cell>
          <cell r="AC9">
            <v>26.22</v>
          </cell>
          <cell r="AD9">
            <v>19.95</v>
          </cell>
        </row>
        <row r="10">
          <cell r="A10" t="str">
            <v>4</v>
          </cell>
          <cell r="B10" t="str">
            <v>Petlad</v>
          </cell>
          <cell r="C10" t="str">
            <v>Sojitra</v>
          </cell>
          <cell r="D10" t="str">
            <v>Pilotrice</v>
          </cell>
          <cell r="E10" t="str">
            <v>Urban LT</v>
          </cell>
          <cell r="F10">
            <v>47.82</v>
          </cell>
          <cell r="H10">
            <v>47</v>
          </cell>
          <cell r="I10" t="str">
            <v>50 mm 2 ACSR</v>
          </cell>
          <cell r="J10">
            <v>96</v>
          </cell>
          <cell r="K10">
            <v>3674</v>
          </cell>
          <cell r="L10">
            <v>87</v>
          </cell>
          <cell r="M10" t="str">
            <v>20.06.00</v>
          </cell>
          <cell r="N10">
            <v>1794</v>
          </cell>
          <cell r="O10">
            <v>87</v>
          </cell>
          <cell r="P10">
            <v>2785</v>
          </cell>
          <cell r="Q10">
            <v>87</v>
          </cell>
          <cell r="R10">
            <v>631</v>
          </cell>
          <cell r="S10">
            <v>2</v>
          </cell>
          <cell r="T10">
            <v>2855</v>
          </cell>
          <cell r="U10">
            <v>10</v>
          </cell>
          <cell r="W10">
            <v>128</v>
          </cell>
          <cell r="X10">
            <v>5</v>
          </cell>
          <cell r="Y10">
            <v>128</v>
          </cell>
          <cell r="Z10">
            <v>1.2</v>
          </cell>
          <cell r="AA10">
            <v>3.2</v>
          </cell>
          <cell r="AB10">
            <v>18.940000000000001</v>
          </cell>
          <cell r="AC10">
            <v>29.29</v>
          </cell>
          <cell r="AD10">
            <v>34.24</v>
          </cell>
        </row>
        <row r="11">
          <cell r="A11" t="str">
            <v>5</v>
          </cell>
          <cell r="B11" t="str">
            <v>Petlad</v>
          </cell>
          <cell r="C11" t="str">
            <v>Sojitra</v>
          </cell>
          <cell r="D11" t="str">
            <v>Sojitra</v>
          </cell>
          <cell r="E11" t="str">
            <v>Urban LT</v>
          </cell>
          <cell r="F11">
            <v>16.420000000000002</v>
          </cell>
          <cell r="H11">
            <v>17</v>
          </cell>
          <cell r="I11" t="str">
            <v>50 mm 2 ACSR</v>
          </cell>
          <cell r="J11">
            <v>60</v>
          </cell>
          <cell r="K11">
            <v>3780</v>
          </cell>
          <cell r="L11">
            <v>279</v>
          </cell>
          <cell r="M11" t="str">
            <v>20.06.00</v>
          </cell>
          <cell r="N11">
            <v>2485</v>
          </cell>
          <cell r="O11">
            <v>279</v>
          </cell>
          <cell r="P11">
            <v>2790</v>
          </cell>
          <cell r="Q11">
            <v>279</v>
          </cell>
          <cell r="R11">
            <v>787</v>
          </cell>
          <cell r="S11">
            <v>0</v>
          </cell>
          <cell r="T11">
            <v>1765</v>
          </cell>
          <cell r="U11">
            <v>15</v>
          </cell>
          <cell r="W11">
            <v>103</v>
          </cell>
          <cell r="X11">
            <v>4</v>
          </cell>
          <cell r="Y11">
            <v>143</v>
          </cell>
          <cell r="Z11">
            <v>0.8</v>
          </cell>
          <cell r="AA11">
            <v>4.2</v>
          </cell>
          <cell r="AB11">
            <v>7.64</v>
          </cell>
          <cell r="AC11">
            <v>28.32</v>
          </cell>
          <cell r="AD11">
            <v>37.090000000000003</v>
          </cell>
        </row>
        <row r="12">
          <cell r="A12" t="str">
            <v>6</v>
          </cell>
          <cell r="B12" t="str">
            <v>Nadiad</v>
          </cell>
          <cell r="C12" t="str">
            <v>Balasinor</v>
          </cell>
          <cell r="D12" t="str">
            <v>Balasinor</v>
          </cell>
          <cell r="E12" t="str">
            <v>Urban Mx</v>
          </cell>
          <cell r="F12">
            <v>9.2799999999999994</v>
          </cell>
          <cell r="H12">
            <v>42</v>
          </cell>
          <cell r="I12" t="str">
            <v>25 mm 2 ACSR</v>
          </cell>
          <cell r="J12">
            <v>120</v>
          </cell>
          <cell r="K12">
            <v>7693</v>
          </cell>
          <cell r="L12">
            <v>41</v>
          </cell>
          <cell r="M12" t="str">
            <v>01.05.00</v>
          </cell>
          <cell r="N12">
            <v>7022</v>
          </cell>
          <cell r="O12">
            <v>41</v>
          </cell>
          <cell r="P12">
            <v>7152</v>
          </cell>
          <cell r="Q12">
            <v>41</v>
          </cell>
          <cell r="R12">
            <v>120</v>
          </cell>
          <cell r="S12">
            <v>2</v>
          </cell>
          <cell r="T12">
            <v>380</v>
          </cell>
          <cell r="U12">
            <v>20</v>
          </cell>
          <cell r="V12">
            <v>3</v>
          </cell>
          <cell r="W12">
            <v>20</v>
          </cell>
          <cell r="X12">
            <v>22</v>
          </cell>
          <cell r="Z12">
            <v>9.7799999999999994</v>
          </cell>
          <cell r="AA12">
            <v>15.2</v>
          </cell>
          <cell r="AB12">
            <v>9.68</v>
          </cell>
          <cell r="AC12">
            <v>28.94</v>
          </cell>
          <cell r="AD12">
            <v>38.67</v>
          </cell>
        </row>
        <row r="13">
          <cell r="A13" t="str">
            <v>7</v>
          </cell>
          <cell r="B13" t="str">
            <v>M'bad</v>
          </cell>
          <cell r="C13" t="str">
            <v>Kapadwanj(T)</v>
          </cell>
          <cell r="D13" t="str">
            <v>Kapadvanj (T)</v>
          </cell>
          <cell r="E13" t="str">
            <v>Ind Mx</v>
          </cell>
          <cell r="F13">
            <v>4.05</v>
          </cell>
          <cell r="G13">
            <v>5.04</v>
          </cell>
          <cell r="H13">
            <v>75</v>
          </cell>
          <cell r="I13" t="str">
            <v>55 mm 2 ACSR</v>
          </cell>
          <cell r="J13">
            <v>155</v>
          </cell>
          <cell r="K13">
            <v>9376</v>
          </cell>
          <cell r="L13">
            <v>172</v>
          </cell>
          <cell r="M13" t="str">
            <v>29.07.99</v>
          </cell>
          <cell r="N13">
            <v>211</v>
          </cell>
          <cell r="O13">
            <v>0</v>
          </cell>
          <cell r="P13">
            <v>477</v>
          </cell>
          <cell r="Q13">
            <v>7</v>
          </cell>
          <cell r="R13">
            <v>243</v>
          </cell>
          <cell r="S13">
            <v>6</v>
          </cell>
          <cell r="T13">
            <v>600</v>
          </cell>
          <cell r="U13">
            <v>22</v>
          </cell>
          <cell r="V13" t="str">
            <v>-</v>
          </cell>
          <cell r="W13">
            <v>55</v>
          </cell>
          <cell r="X13">
            <v>45</v>
          </cell>
          <cell r="Z13">
            <v>17.350000000000001</v>
          </cell>
          <cell r="AA13">
            <v>27.5</v>
          </cell>
          <cell r="AB13">
            <v>14.13</v>
          </cell>
          <cell r="AC13">
            <v>25.62</v>
          </cell>
          <cell r="AD13">
            <v>34.93</v>
          </cell>
        </row>
        <row r="14">
          <cell r="A14" t="str">
            <v>8</v>
          </cell>
          <cell r="B14" t="str">
            <v>Anand City</v>
          </cell>
          <cell r="C14" t="str">
            <v>Anand City</v>
          </cell>
          <cell r="D14" t="str">
            <v>APC</v>
          </cell>
          <cell r="E14" t="str">
            <v>Urban Mx</v>
          </cell>
          <cell r="F14">
            <v>9.2799999999999994</v>
          </cell>
          <cell r="G14">
            <v>4.24</v>
          </cell>
          <cell r="H14">
            <v>44</v>
          </cell>
          <cell r="I14" t="str">
            <v>50 mm 2 ACSR</v>
          </cell>
          <cell r="J14">
            <v>100</v>
          </cell>
          <cell r="K14">
            <v>3011</v>
          </cell>
          <cell r="M14">
            <v>36404</v>
          </cell>
          <cell r="N14">
            <v>1008</v>
          </cell>
          <cell r="O14">
            <v>506</v>
          </cell>
          <cell r="P14">
            <v>800</v>
          </cell>
          <cell r="Q14">
            <v>212</v>
          </cell>
          <cell r="R14">
            <v>51</v>
          </cell>
          <cell r="S14">
            <v>17</v>
          </cell>
          <cell r="T14">
            <v>136</v>
          </cell>
          <cell r="U14">
            <v>42</v>
          </cell>
          <cell r="V14">
            <v>2</v>
          </cell>
          <cell r="X14">
            <v>32</v>
          </cell>
          <cell r="Z14">
            <v>3</v>
          </cell>
          <cell r="AA14">
            <v>13</v>
          </cell>
          <cell r="AB14">
            <v>6.87</v>
          </cell>
          <cell r="AC14">
            <v>27.8</v>
          </cell>
          <cell r="AD14">
            <v>32.22</v>
          </cell>
        </row>
        <row r="15">
          <cell r="A15" t="str">
            <v>9</v>
          </cell>
          <cell r="B15" t="str">
            <v>Anand City</v>
          </cell>
          <cell r="C15" t="str">
            <v>Anand City</v>
          </cell>
          <cell r="D15" t="str">
            <v>Ananad City-1</v>
          </cell>
          <cell r="E15" t="str">
            <v>Urban Mx</v>
          </cell>
          <cell r="F15">
            <v>15.07</v>
          </cell>
          <cell r="G15">
            <v>101.21</v>
          </cell>
          <cell r="H15">
            <v>91</v>
          </cell>
          <cell r="I15" t="str">
            <v>50 mm 2 ACSR</v>
          </cell>
          <cell r="J15">
            <v>250</v>
          </cell>
          <cell r="K15">
            <v>11330</v>
          </cell>
          <cell r="M15">
            <v>36404</v>
          </cell>
          <cell r="N15">
            <v>5140</v>
          </cell>
          <cell r="O15">
            <v>506</v>
          </cell>
          <cell r="P15">
            <v>4950</v>
          </cell>
          <cell r="Q15">
            <v>506</v>
          </cell>
          <cell r="R15">
            <v>224</v>
          </cell>
          <cell r="S15">
            <v>21</v>
          </cell>
          <cell r="T15">
            <v>446</v>
          </cell>
          <cell r="U15">
            <v>75</v>
          </cell>
          <cell r="V15">
            <v>0</v>
          </cell>
          <cell r="X15">
            <v>17</v>
          </cell>
          <cell r="Z15">
            <v>14.5</v>
          </cell>
          <cell r="AA15">
            <v>18</v>
          </cell>
          <cell r="AB15">
            <v>17.940000000000001</v>
          </cell>
          <cell r="AC15">
            <v>29.4</v>
          </cell>
          <cell r="AD15">
            <v>35.24</v>
          </cell>
        </row>
        <row r="16">
          <cell r="A16" t="str">
            <v>10</v>
          </cell>
          <cell r="B16" t="str">
            <v>Anand City</v>
          </cell>
          <cell r="C16" t="str">
            <v>Anand City</v>
          </cell>
          <cell r="D16" t="str">
            <v>GAU</v>
          </cell>
          <cell r="E16" t="str">
            <v>Urban Mx</v>
          </cell>
          <cell r="F16">
            <v>11.16</v>
          </cell>
          <cell r="G16">
            <v>6.83</v>
          </cell>
          <cell r="H16">
            <v>30</v>
          </cell>
          <cell r="I16" t="str">
            <v>50 mm 2 ACSR</v>
          </cell>
          <cell r="J16">
            <v>35</v>
          </cell>
          <cell r="K16">
            <v>782</v>
          </cell>
          <cell r="M16">
            <v>36404</v>
          </cell>
          <cell r="N16">
            <v>220</v>
          </cell>
          <cell r="O16">
            <v>100</v>
          </cell>
          <cell r="P16">
            <v>212</v>
          </cell>
          <cell r="Q16">
            <v>100</v>
          </cell>
          <cell r="R16">
            <v>18</v>
          </cell>
          <cell r="S16">
            <v>0</v>
          </cell>
          <cell r="T16">
            <v>185</v>
          </cell>
          <cell r="U16">
            <v>39</v>
          </cell>
          <cell r="V16">
            <v>0</v>
          </cell>
          <cell r="X16">
            <v>3</v>
          </cell>
          <cell r="Z16">
            <v>8.5</v>
          </cell>
          <cell r="AA16">
            <v>3.5</v>
          </cell>
          <cell r="AB16">
            <v>5.86</v>
          </cell>
          <cell r="AC16">
            <v>27.73</v>
          </cell>
          <cell r="AD16">
            <v>35.93</v>
          </cell>
        </row>
        <row r="17">
          <cell r="A17" t="str">
            <v>11</v>
          </cell>
          <cell r="B17" t="str">
            <v>Nadiad City</v>
          </cell>
          <cell r="C17" t="str">
            <v>Nadiad City</v>
          </cell>
          <cell r="D17" t="str">
            <v>Santram</v>
          </cell>
          <cell r="E17" t="str">
            <v>Urban LT</v>
          </cell>
          <cell r="F17">
            <v>6.83</v>
          </cell>
          <cell r="G17">
            <v>48.48</v>
          </cell>
          <cell r="H17">
            <v>46</v>
          </cell>
          <cell r="I17" t="str">
            <v>50 mm 2 ACSR</v>
          </cell>
          <cell r="J17">
            <v>155</v>
          </cell>
          <cell r="K17">
            <v>2918</v>
          </cell>
          <cell r="L17">
            <v>70</v>
          </cell>
          <cell r="M17" t="str">
            <v>12.08.00</v>
          </cell>
          <cell r="N17">
            <v>163</v>
          </cell>
          <cell r="O17">
            <v>19</v>
          </cell>
          <cell r="P17">
            <v>163</v>
          </cell>
          <cell r="Q17">
            <v>19</v>
          </cell>
          <cell r="R17">
            <v>41</v>
          </cell>
          <cell r="S17">
            <v>5</v>
          </cell>
          <cell r="T17">
            <v>145</v>
          </cell>
          <cell r="U17">
            <v>6</v>
          </cell>
          <cell r="W17">
            <v>10</v>
          </cell>
          <cell r="X17">
            <v>15</v>
          </cell>
          <cell r="Z17">
            <v>8.1999999999999993</v>
          </cell>
          <cell r="AA17">
            <v>17.8</v>
          </cell>
          <cell r="AB17">
            <v>11.48</v>
          </cell>
          <cell r="AC17">
            <v>29.06</v>
          </cell>
          <cell r="AD17">
            <v>30.78</v>
          </cell>
        </row>
        <row r="18">
          <cell r="A18" t="str">
            <v>12</v>
          </cell>
          <cell r="B18" t="str">
            <v>Nadiad City</v>
          </cell>
          <cell r="C18" t="str">
            <v>Nadiad City</v>
          </cell>
          <cell r="D18" t="str">
            <v>Nadiad C</v>
          </cell>
          <cell r="E18" t="str">
            <v>Urban Mx</v>
          </cell>
          <cell r="F18">
            <v>5.8220000000000001</v>
          </cell>
          <cell r="G18">
            <v>21.2</v>
          </cell>
          <cell r="H18">
            <v>20</v>
          </cell>
          <cell r="I18" t="str">
            <v>50 mm 2 ACSR</v>
          </cell>
          <cell r="J18">
            <v>90</v>
          </cell>
          <cell r="K18">
            <v>9914</v>
          </cell>
          <cell r="L18">
            <v>132</v>
          </cell>
          <cell r="M18" t="str">
            <v>12.08.00</v>
          </cell>
          <cell r="N18">
            <v>162</v>
          </cell>
          <cell r="O18">
            <v>16</v>
          </cell>
          <cell r="P18">
            <v>162</v>
          </cell>
          <cell r="Q18">
            <v>16</v>
          </cell>
          <cell r="R18">
            <v>40</v>
          </cell>
          <cell r="S18">
            <v>4</v>
          </cell>
          <cell r="T18">
            <v>160</v>
          </cell>
          <cell r="U18">
            <v>7</v>
          </cell>
          <cell r="W18">
            <v>11</v>
          </cell>
          <cell r="X18">
            <v>14</v>
          </cell>
          <cell r="Z18">
            <v>4.5</v>
          </cell>
          <cell r="AA18">
            <v>18</v>
          </cell>
          <cell r="AB18">
            <v>6.47</v>
          </cell>
          <cell r="AC18">
            <v>29</v>
          </cell>
          <cell r="AD18">
            <v>30.97</v>
          </cell>
        </row>
        <row r="19">
          <cell r="A19" t="str">
            <v>13</v>
          </cell>
          <cell r="B19" t="str">
            <v>Nadiad City</v>
          </cell>
          <cell r="C19" t="str">
            <v>Nadiad City</v>
          </cell>
          <cell r="D19" t="str">
            <v>Kidney</v>
          </cell>
          <cell r="E19" t="str">
            <v>Urban Mx</v>
          </cell>
          <cell r="F19">
            <v>24.77</v>
          </cell>
          <cell r="G19">
            <v>45.32</v>
          </cell>
          <cell r="H19">
            <v>43</v>
          </cell>
          <cell r="I19" t="str">
            <v>50 mm 2 ACSR</v>
          </cell>
          <cell r="J19">
            <v>170</v>
          </cell>
          <cell r="K19">
            <v>5866</v>
          </cell>
          <cell r="L19">
            <v>71</v>
          </cell>
          <cell r="M19" t="str">
            <v>12.08.00</v>
          </cell>
          <cell r="N19">
            <v>159</v>
          </cell>
          <cell r="O19">
            <v>16</v>
          </cell>
          <cell r="P19">
            <v>159</v>
          </cell>
          <cell r="Q19">
            <v>16</v>
          </cell>
          <cell r="R19">
            <v>40</v>
          </cell>
          <cell r="S19">
            <v>4</v>
          </cell>
          <cell r="T19">
            <v>155</v>
          </cell>
          <cell r="U19">
            <v>6</v>
          </cell>
          <cell r="W19">
            <v>9</v>
          </cell>
          <cell r="X19">
            <v>15</v>
          </cell>
          <cell r="Z19">
            <v>10.199999999999999</v>
          </cell>
          <cell r="AA19">
            <v>19</v>
          </cell>
          <cell r="AB19">
            <v>12.5</v>
          </cell>
          <cell r="AC19">
            <v>29.54</v>
          </cell>
          <cell r="AD19">
            <v>30.93</v>
          </cell>
        </row>
        <row r="20">
          <cell r="A20" t="str">
            <v>14</v>
          </cell>
          <cell r="B20" t="str">
            <v>Nadiad City</v>
          </cell>
          <cell r="C20" t="str">
            <v>Nadiad City</v>
          </cell>
          <cell r="D20" t="str">
            <v>Ranibaug</v>
          </cell>
          <cell r="E20" t="str">
            <v>Urban Mx</v>
          </cell>
          <cell r="F20">
            <v>4.7300000000000004</v>
          </cell>
          <cell r="G20">
            <v>16.86</v>
          </cell>
          <cell r="H20">
            <v>16</v>
          </cell>
          <cell r="I20" t="str">
            <v>50 mm 2 ACSR</v>
          </cell>
          <cell r="J20">
            <v>75</v>
          </cell>
          <cell r="K20">
            <v>889</v>
          </cell>
          <cell r="L20">
            <v>36</v>
          </cell>
          <cell r="M20" t="str">
            <v>12.08.00</v>
          </cell>
          <cell r="N20">
            <v>169</v>
          </cell>
          <cell r="O20">
            <v>19</v>
          </cell>
          <cell r="P20">
            <v>169</v>
          </cell>
          <cell r="Q20">
            <v>19</v>
          </cell>
          <cell r="R20">
            <v>42</v>
          </cell>
          <cell r="S20">
            <v>4</v>
          </cell>
          <cell r="T20">
            <v>130</v>
          </cell>
          <cell r="U20">
            <v>6</v>
          </cell>
          <cell r="W20">
            <v>12</v>
          </cell>
          <cell r="X20">
            <v>14</v>
          </cell>
          <cell r="Z20">
            <v>3.5</v>
          </cell>
          <cell r="AA20">
            <v>17</v>
          </cell>
          <cell r="AB20">
            <v>11.6</v>
          </cell>
          <cell r="AC20">
            <v>29.42</v>
          </cell>
          <cell r="AD20">
            <v>30.82</v>
          </cell>
        </row>
        <row r="21">
          <cell r="A21" t="str">
            <v>15</v>
          </cell>
          <cell r="B21" t="str">
            <v>Nadiad City</v>
          </cell>
          <cell r="C21" t="str">
            <v>Nadiad City</v>
          </cell>
          <cell r="D21" t="str">
            <v>Sport Complex</v>
          </cell>
          <cell r="E21" t="str">
            <v>Urban Mx</v>
          </cell>
          <cell r="F21">
            <v>21.68</v>
          </cell>
          <cell r="G21">
            <v>48.19</v>
          </cell>
          <cell r="H21">
            <v>52</v>
          </cell>
          <cell r="I21" t="str">
            <v>50 mm 2 ACSR</v>
          </cell>
          <cell r="J21">
            <v>150</v>
          </cell>
          <cell r="K21">
            <v>5866</v>
          </cell>
          <cell r="L21">
            <v>89</v>
          </cell>
          <cell r="M21" t="str">
            <v>03.06.99</v>
          </cell>
          <cell r="N21">
            <v>214</v>
          </cell>
          <cell r="O21">
            <v>19</v>
          </cell>
          <cell r="P21">
            <v>214</v>
          </cell>
          <cell r="Q21">
            <v>19</v>
          </cell>
          <cell r="R21">
            <v>55</v>
          </cell>
          <cell r="S21">
            <v>5</v>
          </cell>
          <cell r="T21">
            <v>145</v>
          </cell>
          <cell r="U21">
            <v>7</v>
          </cell>
          <cell r="W21">
            <v>10</v>
          </cell>
          <cell r="X21">
            <v>15</v>
          </cell>
          <cell r="Z21">
            <v>12.4</v>
          </cell>
          <cell r="AA21">
            <v>19</v>
          </cell>
          <cell r="AB21">
            <v>14.2</v>
          </cell>
          <cell r="AC21">
            <v>29.65</v>
          </cell>
          <cell r="AD21">
            <v>30.98</v>
          </cell>
        </row>
        <row r="22">
          <cell r="A22" t="str">
            <v>16</v>
          </cell>
          <cell r="B22" t="str">
            <v>Nadiad City</v>
          </cell>
          <cell r="C22" t="str">
            <v>Nadiad City</v>
          </cell>
          <cell r="D22" t="str">
            <v>SRP</v>
          </cell>
          <cell r="E22" t="str">
            <v>Urban LT</v>
          </cell>
          <cell r="F22">
            <v>10.56</v>
          </cell>
          <cell r="G22">
            <v>29.51</v>
          </cell>
          <cell r="H22">
            <v>28</v>
          </cell>
          <cell r="I22" t="str">
            <v>50 mm 2 ACSR</v>
          </cell>
          <cell r="J22">
            <v>110</v>
          </cell>
          <cell r="K22">
            <v>6156</v>
          </cell>
          <cell r="L22">
            <v>61</v>
          </cell>
          <cell r="M22" t="str">
            <v>03.06.99</v>
          </cell>
          <cell r="N22">
            <v>244</v>
          </cell>
          <cell r="O22">
            <v>16</v>
          </cell>
          <cell r="P22">
            <v>244</v>
          </cell>
          <cell r="Q22">
            <v>16</v>
          </cell>
          <cell r="R22">
            <v>61</v>
          </cell>
          <cell r="S22">
            <v>4</v>
          </cell>
          <cell r="T22">
            <v>155</v>
          </cell>
          <cell r="U22">
            <v>7</v>
          </cell>
          <cell r="W22">
            <v>10</v>
          </cell>
          <cell r="X22">
            <v>15</v>
          </cell>
          <cell r="Z22">
            <v>9.1999999999999993</v>
          </cell>
          <cell r="AA22">
            <v>18</v>
          </cell>
          <cell r="AB22">
            <v>6.33</v>
          </cell>
          <cell r="AC22">
            <v>27.58</v>
          </cell>
          <cell r="AD22">
            <v>29.11</v>
          </cell>
        </row>
        <row r="23">
          <cell r="A23" t="str">
            <v>17</v>
          </cell>
          <cell r="B23" t="str">
            <v>Nadiad City</v>
          </cell>
          <cell r="C23" t="str">
            <v>Nadiad City</v>
          </cell>
          <cell r="D23" t="str">
            <v>Kokran</v>
          </cell>
          <cell r="E23" t="str">
            <v>Urban LT</v>
          </cell>
          <cell r="F23">
            <v>8.5449999999999999</v>
          </cell>
          <cell r="G23">
            <v>26.35</v>
          </cell>
          <cell r="H23">
            <v>25</v>
          </cell>
          <cell r="I23" t="str">
            <v>50 mm 2 ACSR</v>
          </cell>
          <cell r="J23">
            <v>120</v>
          </cell>
          <cell r="K23">
            <v>665</v>
          </cell>
          <cell r="L23">
            <v>15</v>
          </cell>
          <cell r="M23" t="str">
            <v>03.06.99</v>
          </cell>
          <cell r="N23">
            <v>164</v>
          </cell>
          <cell r="O23">
            <v>18</v>
          </cell>
          <cell r="P23">
            <v>164</v>
          </cell>
          <cell r="Q23">
            <v>18</v>
          </cell>
          <cell r="R23">
            <v>41</v>
          </cell>
          <cell r="S23">
            <v>4</v>
          </cell>
          <cell r="T23">
            <v>135</v>
          </cell>
          <cell r="U23">
            <v>6</v>
          </cell>
          <cell r="W23">
            <v>10</v>
          </cell>
          <cell r="X23">
            <v>14</v>
          </cell>
          <cell r="Z23">
            <v>7.4</v>
          </cell>
          <cell r="AA23">
            <v>18</v>
          </cell>
          <cell r="AB23">
            <v>8.76</v>
          </cell>
          <cell r="AC23">
            <v>28.75</v>
          </cell>
          <cell r="AD23">
            <v>30.92</v>
          </cell>
        </row>
        <row r="24">
          <cell r="A24" t="str">
            <v>18</v>
          </cell>
          <cell r="B24" t="str">
            <v>Nadiad City</v>
          </cell>
          <cell r="C24" t="str">
            <v>Nadiad City</v>
          </cell>
          <cell r="D24" t="str">
            <v>Vaishali</v>
          </cell>
          <cell r="E24" t="str">
            <v>Urban Mx</v>
          </cell>
          <cell r="F24">
            <v>9.8550000000000004</v>
          </cell>
          <cell r="G24">
            <v>37.9</v>
          </cell>
          <cell r="H24">
            <v>36</v>
          </cell>
          <cell r="I24" t="str">
            <v>50 mm 2 ACSR</v>
          </cell>
          <cell r="J24">
            <v>110</v>
          </cell>
          <cell r="K24">
            <v>3760</v>
          </cell>
          <cell r="L24">
            <v>69</v>
          </cell>
          <cell r="M24" t="str">
            <v>12.08.00</v>
          </cell>
          <cell r="N24">
            <v>160</v>
          </cell>
          <cell r="O24">
            <v>16</v>
          </cell>
          <cell r="P24">
            <v>160</v>
          </cell>
          <cell r="Q24">
            <v>16</v>
          </cell>
          <cell r="R24">
            <v>40</v>
          </cell>
          <cell r="S24">
            <v>4</v>
          </cell>
          <cell r="T24">
            <v>155</v>
          </cell>
          <cell r="U24">
            <v>6</v>
          </cell>
          <cell r="W24">
            <v>10</v>
          </cell>
          <cell r="X24">
            <v>14</v>
          </cell>
          <cell r="Z24">
            <v>8.6999999999999993</v>
          </cell>
          <cell r="AA24">
            <v>17.8</v>
          </cell>
          <cell r="AB24">
            <v>7.46</v>
          </cell>
          <cell r="AC24">
            <v>28.98</v>
          </cell>
          <cell r="AD24">
            <v>30.91</v>
          </cell>
        </row>
        <row r="25">
          <cell r="A25" t="str">
            <v>19</v>
          </cell>
          <cell r="B25" t="str">
            <v>Nadiad City</v>
          </cell>
          <cell r="C25" t="str">
            <v>Nadiad City</v>
          </cell>
          <cell r="D25" t="str">
            <v>Bahumali</v>
          </cell>
          <cell r="E25" t="str">
            <v>Urban LT</v>
          </cell>
          <cell r="F25">
            <v>8.0500000000000007</v>
          </cell>
          <cell r="G25">
            <v>47.43</v>
          </cell>
          <cell r="H25">
            <v>45</v>
          </cell>
          <cell r="I25" t="str">
            <v>50 mm 2 ACSR</v>
          </cell>
          <cell r="J25">
            <v>145</v>
          </cell>
          <cell r="K25">
            <v>2895</v>
          </cell>
          <cell r="L25">
            <v>30</v>
          </cell>
          <cell r="M25" t="str">
            <v>03.06.99</v>
          </cell>
          <cell r="N25">
            <v>155</v>
          </cell>
          <cell r="O25">
            <v>19</v>
          </cell>
          <cell r="P25">
            <v>155</v>
          </cell>
          <cell r="Q25">
            <v>19</v>
          </cell>
          <cell r="R25">
            <v>40</v>
          </cell>
          <cell r="S25">
            <v>7</v>
          </cell>
          <cell r="T25">
            <v>145</v>
          </cell>
          <cell r="U25">
            <v>6</v>
          </cell>
          <cell r="W25">
            <v>11</v>
          </cell>
          <cell r="X25">
            <v>14</v>
          </cell>
          <cell r="Z25">
            <v>6.9</v>
          </cell>
          <cell r="AA25">
            <v>18.2</v>
          </cell>
          <cell r="AB25">
            <v>7.2</v>
          </cell>
          <cell r="AC25">
            <v>28.91</v>
          </cell>
          <cell r="AD25">
            <v>30.93</v>
          </cell>
        </row>
        <row r="26">
          <cell r="A26" t="str">
            <v>20</v>
          </cell>
          <cell r="B26" t="str">
            <v>Cambay City</v>
          </cell>
          <cell r="C26" t="str">
            <v>CambayCity</v>
          </cell>
          <cell r="D26" t="str">
            <v>ONGC</v>
          </cell>
          <cell r="E26" t="str">
            <v>Urban LT</v>
          </cell>
          <cell r="F26">
            <v>14.3</v>
          </cell>
          <cell r="G26">
            <v>4</v>
          </cell>
          <cell r="I26" t="str">
            <v>50 mm 2 ACSR</v>
          </cell>
          <cell r="K26">
            <v>3855</v>
          </cell>
          <cell r="N26">
            <v>2</v>
          </cell>
          <cell r="O26">
            <v>1</v>
          </cell>
          <cell r="R26">
            <v>24</v>
          </cell>
          <cell r="S26">
            <v>1</v>
          </cell>
          <cell r="T26">
            <v>216</v>
          </cell>
          <cell r="U26">
            <v>12</v>
          </cell>
          <cell r="V26">
            <v>6</v>
          </cell>
          <cell r="W26">
            <v>6</v>
          </cell>
          <cell r="X26">
            <v>4</v>
          </cell>
          <cell r="Z26">
            <v>4</v>
          </cell>
          <cell r="AA26">
            <v>4</v>
          </cell>
          <cell r="AB26">
            <v>7.92</v>
          </cell>
          <cell r="AC26">
            <v>29.88</v>
          </cell>
          <cell r="AD26">
            <v>40.14</v>
          </cell>
        </row>
        <row r="27">
          <cell r="A27" t="str">
            <v>21</v>
          </cell>
          <cell r="B27" t="str">
            <v>Cambay City</v>
          </cell>
          <cell r="C27" t="str">
            <v>CambayCity</v>
          </cell>
          <cell r="D27" t="str">
            <v>Lunej</v>
          </cell>
          <cell r="E27" t="str">
            <v>Urban LT</v>
          </cell>
          <cell r="F27">
            <v>11.85</v>
          </cell>
          <cell r="G27">
            <v>4</v>
          </cell>
          <cell r="I27" t="str">
            <v>50 mm 2 ACSR</v>
          </cell>
          <cell r="K27">
            <v>10327</v>
          </cell>
          <cell r="N27">
            <v>63</v>
          </cell>
          <cell r="O27">
            <v>0</v>
          </cell>
          <cell r="R27">
            <v>106</v>
          </cell>
          <cell r="S27">
            <v>3</v>
          </cell>
          <cell r="T27">
            <v>326</v>
          </cell>
          <cell r="U27">
            <v>10</v>
          </cell>
          <cell r="V27">
            <v>6</v>
          </cell>
          <cell r="W27">
            <v>6</v>
          </cell>
          <cell r="X27">
            <v>4</v>
          </cell>
          <cell r="Z27">
            <v>6</v>
          </cell>
          <cell r="AA27">
            <v>10</v>
          </cell>
          <cell r="AB27">
            <v>10.45</v>
          </cell>
          <cell r="AC27">
            <v>19.399999999999999</v>
          </cell>
          <cell r="AD27">
            <v>32.92</v>
          </cell>
        </row>
        <row r="28">
          <cell r="A28" t="str">
            <v>22</v>
          </cell>
          <cell r="B28" t="str">
            <v>Anand</v>
          </cell>
          <cell r="C28" t="str">
            <v>Umreth(R)</v>
          </cell>
          <cell r="D28" t="str">
            <v>Ode(T)</v>
          </cell>
          <cell r="E28" t="str">
            <v>Urban LT</v>
          </cell>
          <cell r="F28">
            <v>16.64</v>
          </cell>
          <cell r="G28">
            <v>21.5</v>
          </cell>
          <cell r="H28">
            <v>31</v>
          </cell>
          <cell r="I28" t="str">
            <v>50 mm 2 ACSR</v>
          </cell>
          <cell r="J28">
            <v>95</v>
          </cell>
          <cell r="K28">
            <v>3374</v>
          </cell>
          <cell r="L28">
            <v>128</v>
          </cell>
          <cell r="M28" t="str">
            <v>09.08.99</v>
          </cell>
          <cell r="N28">
            <v>3059</v>
          </cell>
          <cell r="O28">
            <v>108</v>
          </cell>
          <cell r="P28">
            <v>3059</v>
          </cell>
          <cell r="Q28">
            <v>108</v>
          </cell>
          <cell r="R28">
            <v>120</v>
          </cell>
          <cell r="S28">
            <v>8</v>
          </cell>
          <cell r="T28">
            <v>250</v>
          </cell>
          <cell r="U28">
            <v>8</v>
          </cell>
          <cell r="V28">
            <v>0</v>
          </cell>
          <cell r="W28">
            <v>5</v>
          </cell>
          <cell r="X28">
            <v>2</v>
          </cell>
          <cell r="Y28">
            <v>110</v>
          </cell>
          <cell r="Z28">
            <v>2</v>
          </cell>
          <cell r="AA28">
            <v>2</v>
          </cell>
          <cell r="AB28">
            <v>5.86</v>
          </cell>
          <cell r="AC28">
            <v>34.68</v>
          </cell>
          <cell r="AD28">
            <v>39.68</v>
          </cell>
        </row>
        <row r="29">
          <cell r="A29" t="str">
            <v>23</v>
          </cell>
          <cell r="B29" t="str">
            <v>Anand City</v>
          </cell>
          <cell r="C29" t="str">
            <v>Anand City</v>
          </cell>
          <cell r="D29" t="str">
            <v>SVG</v>
          </cell>
          <cell r="E29" t="str">
            <v>Urban LT</v>
          </cell>
          <cell r="F29">
            <v>11.19</v>
          </cell>
          <cell r="G29">
            <v>89.19</v>
          </cell>
          <cell r="H29">
            <v>81</v>
          </cell>
          <cell r="I29" t="str">
            <v>50 mm 2 ACSR</v>
          </cell>
          <cell r="J29">
            <v>200</v>
          </cell>
          <cell r="K29">
            <v>8565</v>
          </cell>
          <cell r="L29">
            <v>282</v>
          </cell>
          <cell r="M29">
            <v>36586</v>
          </cell>
          <cell r="N29">
            <v>5752</v>
          </cell>
          <cell r="O29">
            <v>504</v>
          </cell>
          <cell r="P29">
            <v>5511</v>
          </cell>
          <cell r="Q29">
            <v>504</v>
          </cell>
          <cell r="R29">
            <v>362</v>
          </cell>
          <cell r="S29">
            <v>26</v>
          </cell>
          <cell r="T29">
            <v>659</v>
          </cell>
          <cell r="U29">
            <v>45</v>
          </cell>
          <cell r="X29">
            <v>11</v>
          </cell>
          <cell r="Z29">
            <v>10.5</v>
          </cell>
          <cell r="AA29">
            <v>5.5</v>
          </cell>
          <cell r="AB29">
            <v>15.27</v>
          </cell>
          <cell r="AC29">
            <v>30.67</v>
          </cell>
          <cell r="AD29">
            <v>32.9</v>
          </cell>
        </row>
        <row r="30">
          <cell r="A30" t="str">
            <v>24</v>
          </cell>
          <cell r="B30" t="str">
            <v>Anand City</v>
          </cell>
          <cell r="C30" t="str">
            <v>Anand City</v>
          </cell>
          <cell r="D30" t="str">
            <v>Anand City-2</v>
          </cell>
          <cell r="E30" t="str">
            <v>Urban LT</v>
          </cell>
          <cell r="F30">
            <v>8.17</v>
          </cell>
          <cell r="G30">
            <v>76.66</v>
          </cell>
          <cell r="H30">
            <v>59</v>
          </cell>
          <cell r="I30" t="str">
            <v>50 mm 2 ACSR</v>
          </cell>
          <cell r="J30">
            <v>175</v>
          </cell>
          <cell r="K30">
            <v>10513</v>
          </cell>
          <cell r="M30">
            <v>36586</v>
          </cell>
          <cell r="N30">
            <v>4006</v>
          </cell>
          <cell r="O30">
            <v>806</v>
          </cell>
          <cell r="P30">
            <v>3901</v>
          </cell>
          <cell r="Q30">
            <v>806</v>
          </cell>
          <cell r="R30">
            <v>208</v>
          </cell>
          <cell r="S30">
            <v>38</v>
          </cell>
          <cell r="T30">
            <v>278</v>
          </cell>
          <cell r="U30">
            <v>76</v>
          </cell>
          <cell r="X30">
            <v>12</v>
          </cell>
          <cell r="Z30">
            <v>11</v>
          </cell>
          <cell r="AA30">
            <v>13.5</v>
          </cell>
          <cell r="AB30">
            <v>10.08</v>
          </cell>
          <cell r="AC30">
            <v>32.65</v>
          </cell>
          <cell r="AD30">
            <v>34.72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hp_16_lt static "/>
      <sheetName val="cps_sp_up"/>
      <sheetName val="cps_wc"/>
      <sheetName val="cps_summary"/>
      <sheetName val="Existing_CPS_july03"/>
      <sheetName val="cps_pp"/>
      <sheetName val="cps_blnk"/>
      <sheetName val="MTHWISE FAIL"/>
      <sheetName val="PASTE"/>
      <sheetName val="Name of Lines"/>
      <sheetName val="FDR MST"/>
      <sheetName val="shp_T_D_drive"/>
      <sheetName val="TLPPOCT"/>
      <sheetName val="mpmla wise pp0001"/>
      <sheetName val="SuvP_Ltg_Catwise"/>
      <sheetName val="PP_Ltg_Catwise"/>
      <sheetName val="SuvP_Ind_Catwise "/>
      <sheetName val="PP_Ind_Catwise "/>
      <sheetName val="mpmla wise pp01_02"/>
      <sheetName val="zpF0001"/>
      <sheetName val="shp_T&amp;D_drive"/>
      <sheetName val="AAR-MONTHLY"/>
      <sheetName val="Master_Data"/>
      <sheetName val="T_D COMP"/>
      <sheetName val="#REF"/>
      <sheetName val="REF"/>
      <sheetName val="11KV_Xmer_Fail"/>
      <sheetName val="ann7"/>
      <sheetName val="ann10"/>
      <sheetName val="ann11 A"/>
      <sheetName val="ann9"/>
      <sheetName val="ann8"/>
      <sheetName val="ann11 B"/>
      <sheetName val="1.GUVNL TT-SF"/>
      <sheetName val="SUMMARY PBIS increase"/>
      <sheetName val="FB"/>
      <sheetName val="MLA ZP"/>
      <sheetName val="Sheet7"/>
    </sheetNames>
    <sheetDataSet>
      <sheetData sheetId="0"/>
      <sheetData sheetId="1"/>
      <sheetData sheetId="2"/>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shp_T_D_drive"/>
      <sheetName val="do"/>
      <sheetName val="shp_T&amp;D_drive"/>
      <sheetName val="shp_T&amp;D_drive (2)"/>
      <sheetName val="shp_sch"/>
      <sheetName val="And_City"/>
      <sheetName val="shp_td-comp   s"/>
      <sheetName val="shp_td-comp aug"/>
      <sheetName val="Chart1"/>
      <sheetName val="Chart2"/>
      <sheetName val="Shp-25 fdrs comp  s"/>
      <sheetName val="shp_divisionwise_units"/>
      <sheetName val="shp_divisionwise_units jul-00  "/>
      <sheetName val="Shp-sdn wise data  s"/>
      <sheetName val="Shp-25 fdrs data  s"/>
      <sheetName val="Shp-sdn wise_GIDC fdrs"/>
      <sheetName val="Shp-sdn wise_ind fdrs "/>
      <sheetName val="Shp-sdn wise_Urban fdrs"/>
      <sheetName val="Shp-sdn wise_Urban fdrs dm"/>
      <sheetName val="Chart6"/>
      <sheetName val="Revenue Data"/>
      <sheetName val="Revenue Data (2)"/>
      <sheetName val="Chart8"/>
      <sheetName val="Revenue Data (3)"/>
      <sheetName val="Chart9"/>
      <sheetName val="Revenue Data (4)"/>
      <sheetName val="consumers"/>
      <sheetName val="shp_T&amp;D_drive (3)"/>
      <sheetName val="shp_T&amp;D_drive 15_sep"/>
      <sheetName val="shp_T&amp;D_drive 15_sep (2)"/>
      <sheetName val="zpF0001"/>
      <sheetName val="Name of Lines"/>
      <sheetName val="mpmla wise pp01_02"/>
      <sheetName val="mpmla wise pp0001"/>
      <sheetName val="R2-S1-mthws-prog"/>
      <sheetName val="Jotana"/>
      <sheetName val="zp0001_MAR"/>
      <sheetName val="ACN_PLN  _2_"/>
      <sheetName val="T_D COMP"/>
      <sheetName val="SuvP_Ltg_Catwise"/>
      <sheetName val="PP_Ltg_Catwise"/>
      <sheetName val="PP_Ind_Catwise "/>
      <sheetName val="pdc Rc,Ag Shif"/>
      <sheetName val="Paid pending"/>
      <sheetName val="SUM-04-05"/>
      <sheetName val="PRO_39_C"/>
      <sheetName val="FDR MST"/>
      <sheetName val="SuvP_Ind_Catwise "/>
      <sheetName val="CT_mtr_check"/>
      <sheetName val="HTVR_VITROL MODI"/>
      <sheetName val="GP-SENT"/>
      <sheetName val="Recovered_Sheet5"/>
      <sheetName val="117"/>
      <sheetName val="LMAIN"/>
      <sheetName val="HTVR sc. coll."/>
      <sheetName val="Master_Data"/>
      <sheetName val="TLPPOCT"/>
      <sheetName val="Ag LF"/>
      <sheetName val="AG UN METER"/>
      <sheetName val="Inputs"/>
    </sheetNames>
    <sheetDataSet>
      <sheetData sheetId="0" refreshError="1">
        <row r="1">
          <cell r="A1" t="str">
            <v>Annexure - A</v>
          </cell>
        </row>
        <row r="2">
          <cell r="A2" t="str">
            <v>Fortnightlyreport regarding action taken on feeders selected for reducing T&amp;D losses</v>
          </cell>
          <cell r="Q2" t="str">
            <v/>
          </cell>
        </row>
        <row r="3">
          <cell r="J3" t="str">
            <v/>
          </cell>
        </row>
        <row r="5">
          <cell r="A5" t="str">
            <v>Sr No</v>
          </cell>
          <cell r="B5" t="str">
            <v>Division</v>
          </cell>
          <cell r="C5" t="str">
            <v>Sub-Division</v>
          </cell>
          <cell r="D5" t="str">
            <v>Feeder</v>
          </cell>
          <cell r="E5" t="str">
            <v>Category</v>
          </cell>
          <cell r="F5" t="str">
            <v xml:space="preserve">Length of Feeder </v>
          </cell>
          <cell r="H5" t="str">
            <v>No of T/C</v>
          </cell>
          <cell r="I5" t="str">
            <v>Size of Conductor</v>
          </cell>
          <cell r="J5" t="str">
            <v>Ampere Loading</v>
          </cell>
          <cell r="K5" t="str">
            <v>No of Consumers</v>
          </cell>
          <cell r="M5" t="str">
            <v>PMT Date</v>
          </cell>
          <cell r="N5" t="str">
            <v>Providing MMB</v>
          </cell>
          <cell r="P5" t="str">
            <v>Sealing of Meter &amp; MMb</v>
          </cell>
          <cell r="R5" t="str">
            <v>Replacement of NWM</v>
          </cell>
          <cell r="T5" t="str">
            <v>Installation Checking</v>
          </cell>
          <cell r="V5" t="str">
            <v>CT operated meter testing</v>
          </cell>
          <cell r="W5" t="str">
            <v>Capacitor Checking of MP consumers</v>
          </cell>
          <cell r="X5" t="str">
            <v>Maintenance of T/C &amp; Dist. Box</v>
          </cell>
          <cell r="Y5" t="str">
            <v>No of Checks on MR's reading</v>
          </cell>
          <cell r="Z5" t="str">
            <v>Maintenance of Line</v>
          </cell>
          <cell r="AB5" t="str">
            <v>Theo % loss</v>
          </cell>
          <cell r="AC5" t="str">
            <v>% loss 99-00</v>
          </cell>
          <cell r="AD5" t="str">
            <v>% loss cumu of 00-01.</v>
          </cell>
          <cell r="AE5" t="str">
            <v>Remarks</v>
          </cell>
        </row>
        <row r="6">
          <cell r="F6" t="str">
            <v>HT</v>
          </cell>
          <cell r="G6" t="str">
            <v>LT</v>
          </cell>
          <cell r="J6" t="str">
            <v>max</v>
          </cell>
          <cell r="K6" t="str">
            <v>1-Ph</v>
          </cell>
          <cell r="L6" t="str">
            <v>3-Ph</v>
          </cell>
          <cell r="N6" t="str">
            <v>1-Ph</v>
          </cell>
          <cell r="O6" t="str">
            <v>3-Ph</v>
          </cell>
          <cell r="P6" t="str">
            <v>1-Ph</v>
          </cell>
          <cell r="Q6" t="str">
            <v>3-Ph</v>
          </cell>
          <cell r="R6" t="str">
            <v>1-Ph</v>
          </cell>
          <cell r="S6" t="str">
            <v>3-Ph</v>
          </cell>
          <cell r="T6" t="str">
            <v>1-Ph</v>
          </cell>
          <cell r="U6" t="str">
            <v>3-Ph</v>
          </cell>
          <cell r="Z6" t="str">
            <v>HT</v>
          </cell>
          <cell r="AA6" t="str">
            <v>LT</v>
          </cell>
        </row>
        <row r="7">
          <cell r="A7" t="str">
            <v>1</v>
          </cell>
          <cell r="B7" t="str">
            <v>Anand</v>
          </cell>
          <cell r="C7" t="str">
            <v>Borsad (R)</v>
          </cell>
          <cell r="D7" t="str">
            <v>ONGC</v>
          </cell>
          <cell r="E7" t="str">
            <v>Ind LT</v>
          </cell>
          <cell r="F7">
            <v>4.5</v>
          </cell>
          <cell r="G7">
            <v>10.5</v>
          </cell>
          <cell r="H7">
            <v>19</v>
          </cell>
          <cell r="I7" t="str">
            <v>50 mm 2 ACSR</v>
          </cell>
          <cell r="J7">
            <v>25</v>
          </cell>
          <cell r="K7">
            <v>242</v>
          </cell>
          <cell r="L7">
            <v>34</v>
          </cell>
          <cell r="M7" t="str">
            <v>17.03.00</v>
          </cell>
          <cell r="N7">
            <v>217</v>
          </cell>
          <cell r="O7">
            <v>34</v>
          </cell>
          <cell r="P7">
            <v>202</v>
          </cell>
          <cell r="Q7">
            <v>34</v>
          </cell>
          <cell r="R7">
            <v>5</v>
          </cell>
          <cell r="S7">
            <v>1</v>
          </cell>
          <cell r="T7">
            <v>100</v>
          </cell>
          <cell r="U7">
            <v>21</v>
          </cell>
          <cell r="V7">
            <v>0</v>
          </cell>
          <cell r="W7">
            <v>0</v>
          </cell>
          <cell r="X7">
            <v>5</v>
          </cell>
          <cell r="Y7">
            <v>52</v>
          </cell>
          <cell r="Z7">
            <v>1.1000000000000001</v>
          </cell>
          <cell r="AA7">
            <v>3.4</v>
          </cell>
          <cell r="AB7">
            <v>8.6</v>
          </cell>
          <cell r="AC7">
            <v>21.09</v>
          </cell>
          <cell r="AD7">
            <v>31.96</v>
          </cell>
        </row>
        <row r="8">
          <cell r="A8" t="str">
            <v>2</v>
          </cell>
          <cell r="B8" t="str">
            <v>Anand</v>
          </cell>
          <cell r="C8" t="str">
            <v>Borsad (T)</v>
          </cell>
          <cell r="D8" t="str">
            <v>Borsad(T)</v>
          </cell>
          <cell r="E8" t="str">
            <v>Urban LT</v>
          </cell>
          <cell r="F8">
            <v>8</v>
          </cell>
          <cell r="G8">
            <v>41.25</v>
          </cell>
          <cell r="H8">
            <v>55</v>
          </cell>
          <cell r="I8" t="str">
            <v>50 mm 2 ACSR</v>
          </cell>
          <cell r="J8">
            <v>164</v>
          </cell>
          <cell r="K8">
            <v>8437</v>
          </cell>
          <cell r="L8">
            <v>225</v>
          </cell>
          <cell r="M8" t="str">
            <v>16.10.99</v>
          </cell>
          <cell r="N8">
            <v>3058</v>
          </cell>
          <cell r="O8">
            <v>200</v>
          </cell>
          <cell r="P8">
            <v>3925</v>
          </cell>
          <cell r="Q8">
            <v>200</v>
          </cell>
          <cell r="R8">
            <v>75</v>
          </cell>
          <cell r="S8">
            <v>4</v>
          </cell>
          <cell r="T8">
            <v>690</v>
          </cell>
          <cell r="U8">
            <v>0</v>
          </cell>
          <cell r="V8">
            <v>2</v>
          </cell>
          <cell r="W8">
            <v>0</v>
          </cell>
          <cell r="X8">
            <v>3</v>
          </cell>
          <cell r="Y8">
            <v>50</v>
          </cell>
          <cell r="Z8">
            <v>3</v>
          </cell>
          <cell r="AA8">
            <v>4</v>
          </cell>
          <cell r="AB8">
            <v>7.12</v>
          </cell>
          <cell r="AC8">
            <v>26.76</v>
          </cell>
          <cell r="AD8">
            <v>30.45</v>
          </cell>
        </row>
        <row r="9">
          <cell r="A9" t="str">
            <v>3</v>
          </cell>
          <cell r="B9" t="str">
            <v>Anand</v>
          </cell>
          <cell r="C9" t="str">
            <v>Umreth(R)</v>
          </cell>
          <cell r="D9" t="str">
            <v>Apar</v>
          </cell>
          <cell r="E9" t="str">
            <v>Urban Mx</v>
          </cell>
          <cell r="F9">
            <v>14.75</v>
          </cell>
          <cell r="G9">
            <v>17.8</v>
          </cell>
          <cell r="H9">
            <v>28</v>
          </cell>
          <cell r="I9" t="str">
            <v>50 mm 2 ACSR</v>
          </cell>
          <cell r="J9">
            <v>60</v>
          </cell>
          <cell r="K9">
            <v>1631</v>
          </cell>
          <cell r="L9">
            <v>98</v>
          </cell>
          <cell r="M9" t="str">
            <v>11.03.00</v>
          </cell>
          <cell r="N9">
            <v>1506</v>
          </cell>
          <cell r="O9">
            <v>98</v>
          </cell>
          <cell r="P9">
            <v>1006</v>
          </cell>
          <cell r="Q9">
            <v>88</v>
          </cell>
          <cell r="R9">
            <v>6</v>
          </cell>
          <cell r="S9">
            <v>2</v>
          </cell>
          <cell r="T9">
            <v>55</v>
          </cell>
          <cell r="U9">
            <v>12</v>
          </cell>
          <cell r="V9">
            <v>0</v>
          </cell>
          <cell r="W9">
            <v>12</v>
          </cell>
          <cell r="X9">
            <v>4</v>
          </cell>
          <cell r="Y9">
            <v>35</v>
          </cell>
          <cell r="Z9">
            <v>1.8</v>
          </cell>
          <cell r="AA9">
            <v>3.5</v>
          </cell>
          <cell r="AB9">
            <v>6.8</v>
          </cell>
          <cell r="AC9">
            <v>26.22</v>
          </cell>
          <cell r="AD9">
            <v>19.95</v>
          </cell>
        </row>
        <row r="10">
          <cell r="A10" t="str">
            <v>4</v>
          </cell>
          <cell r="B10" t="str">
            <v>Petlad</v>
          </cell>
          <cell r="C10" t="str">
            <v>Sojitra</v>
          </cell>
          <cell r="D10" t="str">
            <v>Pilotrice</v>
          </cell>
          <cell r="E10" t="str">
            <v>Urban LT</v>
          </cell>
          <cell r="F10">
            <v>47.82</v>
          </cell>
          <cell r="H10">
            <v>47</v>
          </cell>
          <cell r="I10" t="str">
            <v>50 mm 2 ACSR</v>
          </cell>
          <cell r="J10">
            <v>96</v>
          </cell>
          <cell r="K10">
            <v>3674</v>
          </cell>
          <cell r="L10">
            <v>87</v>
          </cell>
          <cell r="M10" t="str">
            <v>20.06.00</v>
          </cell>
          <cell r="N10">
            <v>1794</v>
          </cell>
          <cell r="O10">
            <v>87</v>
          </cell>
          <cell r="P10">
            <v>2785</v>
          </cell>
          <cell r="Q10">
            <v>87</v>
          </cell>
          <cell r="R10">
            <v>631</v>
          </cell>
          <cell r="S10">
            <v>2</v>
          </cell>
          <cell r="T10">
            <v>2855</v>
          </cell>
          <cell r="U10">
            <v>10</v>
          </cell>
          <cell r="W10">
            <v>128</v>
          </cell>
          <cell r="X10">
            <v>5</v>
          </cell>
          <cell r="Y10">
            <v>128</v>
          </cell>
          <cell r="Z10">
            <v>1.2</v>
          </cell>
          <cell r="AA10">
            <v>3.2</v>
          </cell>
          <cell r="AB10">
            <v>18.940000000000001</v>
          </cell>
          <cell r="AC10">
            <v>29.29</v>
          </cell>
          <cell r="AD10">
            <v>34.24</v>
          </cell>
        </row>
        <row r="11">
          <cell r="A11" t="str">
            <v>5</v>
          </cell>
          <cell r="B11" t="str">
            <v>Petlad</v>
          </cell>
          <cell r="C11" t="str">
            <v>Sojitra</v>
          </cell>
          <cell r="D11" t="str">
            <v>Sojitra</v>
          </cell>
          <cell r="E11" t="str">
            <v>Urban LT</v>
          </cell>
          <cell r="F11">
            <v>16.420000000000002</v>
          </cell>
          <cell r="H11">
            <v>17</v>
          </cell>
          <cell r="I11" t="str">
            <v>50 mm 2 ACSR</v>
          </cell>
          <cell r="J11">
            <v>60</v>
          </cell>
          <cell r="K11">
            <v>3780</v>
          </cell>
          <cell r="L11">
            <v>279</v>
          </cell>
          <cell r="M11" t="str">
            <v>20.06.00</v>
          </cell>
          <cell r="N11">
            <v>2485</v>
          </cell>
          <cell r="O11">
            <v>279</v>
          </cell>
          <cell r="P11">
            <v>2790</v>
          </cell>
          <cell r="Q11">
            <v>279</v>
          </cell>
          <cell r="R11">
            <v>787</v>
          </cell>
          <cell r="S11">
            <v>0</v>
          </cell>
          <cell r="T11">
            <v>1765</v>
          </cell>
          <cell r="U11">
            <v>15</v>
          </cell>
          <cell r="W11">
            <v>103</v>
          </cell>
          <cell r="X11">
            <v>4</v>
          </cell>
          <cell r="Y11">
            <v>143</v>
          </cell>
          <cell r="Z11">
            <v>0.8</v>
          </cell>
          <cell r="AA11">
            <v>4.2</v>
          </cell>
          <cell r="AB11">
            <v>7.64</v>
          </cell>
          <cell r="AC11">
            <v>28.32</v>
          </cell>
          <cell r="AD11">
            <v>37.090000000000003</v>
          </cell>
        </row>
        <row r="12">
          <cell r="A12" t="str">
            <v>6</v>
          </cell>
          <cell r="B12" t="str">
            <v>Nadiad</v>
          </cell>
          <cell r="C12" t="str">
            <v>Balasinor</v>
          </cell>
          <cell r="D12" t="str">
            <v>Balasinor</v>
          </cell>
          <cell r="E12" t="str">
            <v>Urban Mx</v>
          </cell>
          <cell r="F12">
            <v>9.2799999999999994</v>
          </cell>
          <cell r="H12">
            <v>42</v>
          </cell>
          <cell r="I12" t="str">
            <v>25 mm 2 ACSR</v>
          </cell>
          <cell r="J12">
            <v>120</v>
          </cell>
          <cell r="K12">
            <v>7693</v>
          </cell>
          <cell r="L12">
            <v>41</v>
          </cell>
          <cell r="M12" t="str">
            <v>01.05.00</v>
          </cell>
          <cell r="N12">
            <v>7022</v>
          </cell>
          <cell r="O12">
            <v>41</v>
          </cell>
          <cell r="P12">
            <v>7152</v>
          </cell>
          <cell r="Q12">
            <v>41</v>
          </cell>
          <cell r="R12">
            <v>120</v>
          </cell>
          <cell r="S12">
            <v>2</v>
          </cell>
          <cell r="T12">
            <v>380</v>
          </cell>
          <cell r="U12">
            <v>20</v>
          </cell>
          <cell r="V12">
            <v>3</v>
          </cell>
          <cell r="W12">
            <v>20</v>
          </cell>
          <cell r="X12">
            <v>22</v>
          </cell>
          <cell r="Z12">
            <v>9.7799999999999994</v>
          </cell>
          <cell r="AA12">
            <v>15.2</v>
          </cell>
          <cell r="AB12">
            <v>9.68</v>
          </cell>
          <cell r="AC12">
            <v>28.94</v>
          </cell>
          <cell r="AD12">
            <v>38.67</v>
          </cell>
        </row>
        <row r="13">
          <cell r="A13" t="str">
            <v>7</v>
          </cell>
          <cell r="B13" t="str">
            <v>M'bad</v>
          </cell>
          <cell r="C13" t="str">
            <v>Kapadwanj(T)</v>
          </cell>
          <cell r="D13" t="str">
            <v>Kapadvanj (T)</v>
          </cell>
          <cell r="E13" t="str">
            <v>Ind Mx</v>
          </cell>
          <cell r="F13">
            <v>4.05</v>
          </cell>
          <cell r="G13">
            <v>5.04</v>
          </cell>
          <cell r="H13">
            <v>75</v>
          </cell>
          <cell r="I13" t="str">
            <v>55 mm 2 ACSR</v>
          </cell>
          <cell r="J13">
            <v>155</v>
          </cell>
          <cell r="K13">
            <v>9376</v>
          </cell>
          <cell r="L13">
            <v>172</v>
          </cell>
          <cell r="M13" t="str">
            <v>29.07.99</v>
          </cell>
          <cell r="N13">
            <v>211</v>
          </cell>
          <cell r="O13">
            <v>0</v>
          </cell>
          <cell r="P13">
            <v>477</v>
          </cell>
          <cell r="Q13">
            <v>7</v>
          </cell>
          <cell r="R13">
            <v>243</v>
          </cell>
          <cell r="S13">
            <v>6</v>
          </cell>
          <cell r="T13">
            <v>600</v>
          </cell>
          <cell r="U13">
            <v>22</v>
          </cell>
          <cell r="V13" t="str">
            <v>-</v>
          </cell>
          <cell r="W13">
            <v>55</v>
          </cell>
          <cell r="X13">
            <v>45</v>
          </cell>
          <cell r="Z13">
            <v>17.350000000000001</v>
          </cell>
          <cell r="AA13">
            <v>27.5</v>
          </cell>
          <cell r="AB13">
            <v>14.13</v>
          </cell>
          <cell r="AC13">
            <v>25.62</v>
          </cell>
          <cell r="AD13">
            <v>34.93</v>
          </cell>
        </row>
        <row r="14">
          <cell r="A14" t="str">
            <v>8</v>
          </cell>
          <cell r="B14" t="str">
            <v>Anand City</v>
          </cell>
          <cell r="C14" t="str">
            <v>Anand City</v>
          </cell>
          <cell r="D14" t="str">
            <v>APC</v>
          </cell>
          <cell r="E14" t="str">
            <v>Urban Mx</v>
          </cell>
          <cell r="F14">
            <v>9.2799999999999994</v>
          </cell>
          <cell r="G14">
            <v>4.24</v>
          </cell>
          <cell r="H14">
            <v>44</v>
          </cell>
          <cell r="I14" t="str">
            <v>50 mm 2 ACSR</v>
          </cell>
          <cell r="J14">
            <v>100</v>
          </cell>
          <cell r="K14">
            <v>3011</v>
          </cell>
          <cell r="M14">
            <v>36404</v>
          </cell>
          <cell r="N14">
            <v>1008</v>
          </cell>
          <cell r="O14">
            <v>506</v>
          </cell>
          <cell r="P14">
            <v>800</v>
          </cell>
          <cell r="Q14">
            <v>212</v>
          </cell>
          <cell r="R14">
            <v>51</v>
          </cell>
          <cell r="S14">
            <v>17</v>
          </cell>
          <cell r="T14">
            <v>136</v>
          </cell>
          <cell r="U14">
            <v>42</v>
          </cell>
          <cell r="V14">
            <v>2</v>
          </cell>
          <cell r="X14">
            <v>32</v>
          </cell>
          <cell r="Z14">
            <v>3</v>
          </cell>
          <cell r="AA14">
            <v>13</v>
          </cell>
          <cell r="AB14">
            <v>6.87</v>
          </cell>
          <cell r="AC14">
            <v>27.8</v>
          </cell>
          <cell r="AD14">
            <v>32.22</v>
          </cell>
        </row>
        <row r="15">
          <cell r="A15" t="str">
            <v>9</v>
          </cell>
          <cell r="B15" t="str">
            <v>Anand City</v>
          </cell>
          <cell r="C15" t="str">
            <v>Anand City</v>
          </cell>
          <cell r="D15" t="str">
            <v>Ananad City-1</v>
          </cell>
          <cell r="E15" t="str">
            <v>Urban Mx</v>
          </cell>
          <cell r="F15">
            <v>15.07</v>
          </cell>
          <cell r="G15">
            <v>101.21</v>
          </cell>
          <cell r="H15">
            <v>91</v>
          </cell>
          <cell r="I15" t="str">
            <v>50 mm 2 ACSR</v>
          </cell>
          <cell r="J15">
            <v>250</v>
          </cell>
          <cell r="K15">
            <v>11330</v>
          </cell>
          <cell r="M15">
            <v>36404</v>
          </cell>
          <cell r="N15">
            <v>5140</v>
          </cell>
          <cell r="O15">
            <v>506</v>
          </cell>
          <cell r="P15">
            <v>4950</v>
          </cell>
          <cell r="Q15">
            <v>506</v>
          </cell>
          <cell r="R15">
            <v>224</v>
          </cell>
          <cell r="S15">
            <v>21</v>
          </cell>
          <cell r="T15">
            <v>446</v>
          </cell>
          <cell r="U15">
            <v>75</v>
          </cell>
          <cell r="V15">
            <v>0</v>
          </cell>
          <cell r="X15">
            <v>17</v>
          </cell>
          <cell r="Z15">
            <v>14.5</v>
          </cell>
          <cell r="AA15">
            <v>18</v>
          </cell>
          <cell r="AB15">
            <v>17.940000000000001</v>
          </cell>
          <cell r="AC15">
            <v>29.4</v>
          </cell>
          <cell r="AD15">
            <v>35.24</v>
          </cell>
        </row>
        <row r="16">
          <cell r="A16" t="str">
            <v>10</v>
          </cell>
          <cell r="B16" t="str">
            <v>Anand City</v>
          </cell>
          <cell r="C16" t="str">
            <v>Anand City</v>
          </cell>
          <cell r="D16" t="str">
            <v>GAU</v>
          </cell>
          <cell r="E16" t="str">
            <v>Urban Mx</v>
          </cell>
          <cell r="F16">
            <v>11.16</v>
          </cell>
          <cell r="G16">
            <v>6.83</v>
          </cell>
          <cell r="H16">
            <v>30</v>
          </cell>
          <cell r="I16" t="str">
            <v>50 mm 2 ACSR</v>
          </cell>
          <cell r="J16">
            <v>35</v>
          </cell>
          <cell r="K16">
            <v>782</v>
          </cell>
          <cell r="M16">
            <v>36404</v>
          </cell>
          <cell r="N16">
            <v>220</v>
          </cell>
          <cell r="O16">
            <v>100</v>
          </cell>
          <cell r="P16">
            <v>212</v>
          </cell>
          <cell r="Q16">
            <v>100</v>
          </cell>
          <cell r="R16">
            <v>18</v>
          </cell>
          <cell r="S16">
            <v>0</v>
          </cell>
          <cell r="T16">
            <v>185</v>
          </cell>
          <cell r="U16">
            <v>39</v>
          </cell>
          <cell r="V16">
            <v>0</v>
          </cell>
          <cell r="X16">
            <v>3</v>
          </cell>
          <cell r="Z16">
            <v>8.5</v>
          </cell>
          <cell r="AA16">
            <v>3.5</v>
          </cell>
          <cell r="AB16">
            <v>5.86</v>
          </cell>
          <cell r="AC16">
            <v>27.73</v>
          </cell>
          <cell r="AD16">
            <v>35.93</v>
          </cell>
        </row>
        <row r="17">
          <cell r="A17" t="str">
            <v>11</v>
          </cell>
          <cell r="B17" t="str">
            <v>Nadiad City</v>
          </cell>
          <cell r="C17" t="str">
            <v>Nadiad City</v>
          </cell>
          <cell r="D17" t="str">
            <v>Santram</v>
          </cell>
          <cell r="E17" t="str">
            <v>Urban LT</v>
          </cell>
          <cell r="F17">
            <v>6.83</v>
          </cell>
          <cell r="G17">
            <v>48.48</v>
          </cell>
          <cell r="H17">
            <v>46</v>
          </cell>
          <cell r="I17" t="str">
            <v>50 mm 2 ACSR</v>
          </cell>
          <cell r="J17">
            <v>155</v>
          </cell>
          <cell r="K17">
            <v>2918</v>
          </cell>
          <cell r="L17">
            <v>70</v>
          </cell>
          <cell r="M17" t="str">
            <v>12.08.00</v>
          </cell>
          <cell r="N17">
            <v>163</v>
          </cell>
          <cell r="O17">
            <v>19</v>
          </cell>
          <cell r="P17">
            <v>163</v>
          </cell>
          <cell r="Q17">
            <v>19</v>
          </cell>
          <cell r="R17">
            <v>41</v>
          </cell>
          <cell r="S17">
            <v>5</v>
          </cell>
          <cell r="T17">
            <v>145</v>
          </cell>
          <cell r="U17">
            <v>6</v>
          </cell>
          <cell r="W17">
            <v>10</v>
          </cell>
          <cell r="X17">
            <v>15</v>
          </cell>
          <cell r="Z17">
            <v>8.1999999999999993</v>
          </cell>
          <cell r="AA17">
            <v>17.8</v>
          </cell>
          <cell r="AB17">
            <v>11.48</v>
          </cell>
          <cell r="AC17">
            <v>29.06</v>
          </cell>
          <cell r="AD17">
            <v>30.78</v>
          </cell>
        </row>
        <row r="18">
          <cell r="A18" t="str">
            <v>12</v>
          </cell>
          <cell r="B18" t="str">
            <v>Nadiad City</v>
          </cell>
          <cell r="C18" t="str">
            <v>Nadiad City</v>
          </cell>
          <cell r="D18" t="str">
            <v>Nadiad C</v>
          </cell>
          <cell r="E18" t="str">
            <v>Urban Mx</v>
          </cell>
          <cell r="F18">
            <v>5.8220000000000001</v>
          </cell>
          <cell r="G18">
            <v>21.2</v>
          </cell>
          <cell r="H18">
            <v>20</v>
          </cell>
          <cell r="I18" t="str">
            <v>50 mm 2 ACSR</v>
          </cell>
          <cell r="J18">
            <v>90</v>
          </cell>
          <cell r="K18">
            <v>9914</v>
          </cell>
          <cell r="L18">
            <v>132</v>
          </cell>
          <cell r="M18" t="str">
            <v>12.08.00</v>
          </cell>
          <cell r="N18">
            <v>162</v>
          </cell>
          <cell r="O18">
            <v>16</v>
          </cell>
          <cell r="P18">
            <v>162</v>
          </cell>
          <cell r="Q18">
            <v>16</v>
          </cell>
          <cell r="R18">
            <v>40</v>
          </cell>
          <cell r="S18">
            <v>4</v>
          </cell>
          <cell r="T18">
            <v>160</v>
          </cell>
          <cell r="U18">
            <v>7</v>
          </cell>
          <cell r="W18">
            <v>11</v>
          </cell>
          <cell r="X18">
            <v>14</v>
          </cell>
          <cell r="Z18">
            <v>4.5</v>
          </cell>
          <cell r="AA18">
            <v>18</v>
          </cell>
          <cell r="AB18">
            <v>6.47</v>
          </cell>
          <cell r="AC18">
            <v>29</v>
          </cell>
          <cell r="AD18">
            <v>30.97</v>
          </cell>
        </row>
        <row r="19">
          <cell r="A19" t="str">
            <v>13</v>
          </cell>
          <cell r="B19" t="str">
            <v>Nadiad City</v>
          </cell>
          <cell r="C19" t="str">
            <v>Nadiad City</v>
          </cell>
          <cell r="D19" t="str">
            <v>Kidney</v>
          </cell>
          <cell r="E19" t="str">
            <v>Urban Mx</v>
          </cell>
          <cell r="F19">
            <v>24.77</v>
          </cell>
          <cell r="G19">
            <v>45.32</v>
          </cell>
          <cell r="H19">
            <v>43</v>
          </cell>
          <cell r="I19" t="str">
            <v>50 mm 2 ACSR</v>
          </cell>
          <cell r="J19">
            <v>170</v>
          </cell>
          <cell r="K19">
            <v>5866</v>
          </cell>
          <cell r="L19">
            <v>71</v>
          </cell>
          <cell r="M19" t="str">
            <v>12.08.00</v>
          </cell>
          <cell r="N19">
            <v>159</v>
          </cell>
          <cell r="O19">
            <v>16</v>
          </cell>
          <cell r="P19">
            <v>159</v>
          </cell>
          <cell r="Q19">
            <v>16</v>
          </cell>
          <cell r="R19">
            <v>40</v>
          </cell>
          <cell r="S19">
            <v>4</v>
          </cell>
          <cell r="T19">
            <v>155</v>
          </cell>
          <cell r="U19">
            <v>6</v>
          </cell>
          <cell r="W19">
            <v>9</v>
          </cell>
          <cell r="X19">
            <v>15</v>
          </cell>
          <cell r="Z19">
            <v>10.199999999999999</v>
          </cell>
          <cell r="AA19">
            <v>19</v>
          </cell>
          <cell r="AB19">
            <v>12.5</v>
          </cell>
          <cell r="AC19">
            <v>29.54</v>
          </cell>
          <cell r="AD19">
            <v>30.93</v>
          </cell>
        </row>
        <row r="20">
          <cell r="A20" t="str">
            <v>14</v>
          </cell>
          <cell r="B20" t="str">
            <v>Nadiad City</v>
          </cell>
          <cell r="C20" t="str">
            <v>Nadiad City</v>
          </cell>
          <cell r="D20" t="str">
            <v>Ranibaug</v>
          </cell>
          <cell r="E20" t="str">
            <v>Urban Mx</v>
          </cell>
          <cell r="F20">
            <v>4.7300000000000004</v>
          </cell>
          <cell r="G20">
            <v>16.86</v>
          </cell>
          <cell r="H20">
            <v>16</v>
          </cell>
          <cell r="I20" t="str">
            <v>50 mm 2 ACSR</v>
          </cell>
          <cell r="J20">
            <v>75</v>
          </cell>
          <cell r="K20">
            <v>889</v>
          </cell>
          <cell r="L20">
            <v>36</v>
          </cell>
          <cell r="M20" t="str">
            <v>12.08.00</v>
          </cell>
          <cell r="N20">
            <v>169</v>
          </cell>
          <cell r="O20">
            <v>19</v>
          </cell>
          <cell r="P20">
            <v>169</v>
          </cell>
          <cell r="Q20">
            <v>19</v>
          </cell>
          <cell r="R20">
            <v>42</v>
          </cell>
          <cell r="S20">
            <v>4</v>
          </cell>
          <cell r="T20">
            <v>130</v>
          </cell>
          <cell r="U20">
            <v>6</v>
          </cell>
          <cell r="W20">
            <v>12</v>
          </cell>
          <cell r="X20">
            <v>14</v>
          </cell>
          <cell r="Z20">
            <v>3.5</v>
          </cell>
          <cell r="AA20">
            <v>17</v>
          </cell>
          <cell r="AB20">
            <v>11.6</v>
          </cell>
          <cell r="AC20">
            <v>29.42</v>
          </cell>
          <cell r="AD20">
            <v>30.82</v>
          </cell>
        </row>
        <row r="21">
          <cell r="A21" t="str">
            <v>15</v>
          </cell>
          <cell r="B21" t="str">
            <v>Nadiad City</v>
          </cell>
          <cell r="C21" t="str">
            <v>Nadiad City</v>
          </cell>
          <cell r="D21" t="str">
            <v>Sport Complex</v>
          </cell>
          <cell r="E21" t="str">
            <v>Urban Mx</v>
          </cell>
          <cell r="F21">
            <v>21.68</v>
          </cell>
          <cell r="G21">
            <v>48.19</v>
          </cell>
          <cell r="H21">
            <v>52</v>
          </cell>
          <cell r="I21" t="str">
            <v>50 mm 2 ACSR</v>
          </cell>
          <cell r="J21">
            <v>150</v>
          </cell>
          <cell r="K21">
            <v>5866</v>
          </cell>
          <cell r="L21">
            <v>89</v>
          </cell>
          <cell r="M21" t="str">
            <v>03.06.99</v>
          </cell>
          <cell r="N21">
            <v>214</v>
          </cell>
          <cell r="O21">
            <v>19</v>
          </cell>
          <cell r="P21">
            <v>214</v>
          </cell>
          <cell r="Q21">
            <v>19</v>
          </cell>
          <cell r="R21">
            <v>55</v>
          </cell>
          <cell r="S21">
            <v>5</v>
          </cell>
          <cell r="T21">
            <v>145</v>
          </cell>
          <cell r="U21">
            <v>7</v>
          </cell>
          <cell r="W21">
            <v>10</v>
          </cell>
          <cell r="X21">
            <v>15</v>
          </cell>
          <cell r="Z21">
            <v>12.4</v>
          </cell>
          <cell r="AA21">
            <v>19</v>
          </cell>
          <cell r="AB21">
            <v>14.2</v>
          </cell>
          <cell r="AC21">
            <v>29.65</v>
          </cell>
          <cell r="AD21">
            <v>30.98</v>
          </cell>
        </row>
        <row r="22">
          <cell r="A22" t="str">
            <v>16</v>
          </cell>
          <cell r="B22" t="str">
            <v>Nadiad City</v>
          </cell>
          <cell r="C22" t="str">
            <v>Nadiad City</v>
          </cell>
          <cell r="D22" t="str">
            <v>SRP</v>
          </cell>
          <cell r="E22" t="str">
            <v>Urban LT</v>
          </cell>
          <cell r="F22">
            <v>10.56</v>
          </cell>
          <cell r="G22">
            <v>29.51</v>
          </cell>
          <cell r="H22">
            <v>28</v>
          </cell>
          <cell r="I22" t="str">
            <v>50 mm 2 ACSR</v>
          </cell>
          <cell r="J22">
            <v>110</v>
          </cell>
          <cell r="K22">
            <v>6156</v>
          </cell>
          <cell r="L22">
            <v>61</v>
          </cell>
          <cell r="M22" t="str">
            <v>03.06.99</v>
          </cell>
          <cell r="N22">
            <v>244</v>
          </cell>
          <cell r="O22">
            <v>16</v>
          </cell>
          <cell r="P22">
            <v>244</v>
          </cell>
          <cell r="Q22">
            <v>16</v>
          </cell>
          <cell r="R22">
            <v>61</v>
          </cell>
          <cell r="S22">
            <v>4</v>
          </cell>
          <cell r="T22">
            <v>155</v>
          </cell>
          <cell r="U22">
            <v>7</v>
          </cell>
          <cell r="W22">
            <v>10</v>
          </cell>
          <cell r="X22">
            <v>15</v>
          </cell>
          <cell r="Z22">
            <v>9.1999999999999993</v>
          </cell>
          <cell r="AA22">
            <v>18</v>
          </cell>
          <cell r="AB22">
            <v>6.33</v>
          </cell>
          <cell r="AC22">
            <v>27.58</v>
          </cell>
          <cell r="AD22">
            <v>29.11</v>
          </cell>
        </row>
        <row r="23">
          <cell r="A23" t="str">
            <v>17</v>
          </cell>
          <cell r="B23" t="str">
            <v>Nadiad City</v>
          </cell>
          <cell r="C23" t="str">
            <v>Nadiad City</v>
          </cell>
          <cell r="D23" t="str">
            <v>Kokran</v>
          </cell>
          <cell r="E23" t="str">
            <v>Urban LT</v>
          </cell>
          <cell r="F23">
            <v>8.5449999999999999</v>
          </cell>
          <cell r="G23">
            <v>26.35</v>
          </cell>
          <cell r="H23">
            <v>25</v>
          </cell>
          <cell r="I23" t="str">
            <v>50 mm 2 ACSR</v>
          </cell>
          <cell r="J23">
            <v>120</v>
          </cell>
          <cell r="K23">
            <v>665</v>
          </cell>
          <cell r="L23">
            <v>15</v>
          </cell>
          <cell r="M23" t="str">
            <v>03.06.99</v>
          </cell>
          <cell r="N23">
            <v>164</v>
          </cell>
          <cell r="O23">
            <v>18</v>
          </cell>
          <cell r="P23">
            <v>164</v>
          </cell>
          <cell r="Q23">
            <v>18</v>
          </cell>
          <cell r="R23">
            <v>41</v>
          </cell>
          <cell r="S23">
            <v>4</v>
          </cell>
          <cell r="T23">
            <v>135</v>
          </cell>
          <cell r="U23">
            <v>6</v>
          </cell>
          <cell r="W23">
            <v>10</v>
          </cell>
          <cell r="X23">
            <v>14</v>
          </cell>
          <cell r="Z23">
            <v>7.4</v>
          </cell>
          <cell r="AA23">
            <v>18</v>
          </cell>
          <cell r="AB23">
            <v>8.76</v>
          </cell>
          <cell r="AC23">
            <v>28.75</v>
          </cell>
          <cell r="AD23">
            <v>30.92</v>
          </cell>
        </row>
        <row r="24">
          <cell r="A24" t="str">
            <v>18</v>
          </cell>
          <cell r="B24" t="str">
            <v>Nadiad City</v>
          </cell>
          <cell r="C24" t="str">
            <v>Nadiad City</v>
          </cell>
          <cell r="D24" t="str">
            <v>Vaishali</v>
          </cell>
          <cell r="E24" t="str">
            <v>Urban Mx</v>
          </cell>
          <cell r="F24">
            <v>9.8550000000000004</v>
          </cell>
          <cell r="G24">
            <v>37.9</v>
          </cell>
          <cell r="H24">
            <v>36</v>
          </cell>
          <cell r="I24" t="str">
            <v>50 mm 2 ACSR</v>
          </cell>
          <cell r="J24">
            <v>110</v>
          </cell>
          <cell r="K24">
            <v>3760</v>
          </cell>
          <cell r="L24">
            <v>69</v>
          </cell>
          <cell r="M24" t="str">
            <v>12.08.00</v>
          </cell>
          <cell r="N24">
            <v>160</v>
          </cell>
          <cell r="O24">
            <v>16</v>
          </cell>
          <cell r="P24">
            <v>160</v>
          </cell>
          <cell r="Q24">
            <v>16</v>
          </cell>
          <cell r="R24">
            <v>40</v>
          </cell>
          <cell r="S24">
            <v>4</v>
          </cell>
          <cell r="T24">
            <v>155</v>
          </cell>
          <cell r="U24">
            <v>6</v>
          </cell>
          <cell r="W24">
            <v>10</v>
          </cell>
          <cell r="X24">
            <v>14</v>
          </cell>
          <cell r="Z24">
            <v>8.6999999999999993</v>
          </cell>
          <cell r="AA24">
            <v>17.8</v>
          </cell>
          <cell r="AB24">
            <v>7.46</v>
          </cell>
          <cell r="AC24">
            <v>28.98</v>
          </cell>
          <cell r="AD24">
            <v>30.91</v>
          </cell>
        </row>
        <row r="25">
          <cell r="A25" t="str">
            <v>19</v>
          </cell>
          <cell r="B25" t="str">
            <v>Nadiad City</v>
          </cell>
          <cell r="C25" t="str">
            <v>Nadiad City</v>
          </cell>
          <cell r="D25" t="str">
            <v>Bahumali</v>
          </cell>
          <cell r="E25" t="str">
            <v>Urban LT</v>
          </cell>
          <cell r="F25">
            <v>8.0500000000000007</v>
          </cell>
          <cell r="G25">
            <v>47.43</v>
          </cell>
          <cell r="H25">
            <v>45</v>
          </cell>
          <cell r="I25" t="str">
            <v>50 mm 2 ACSR</v>
          </cell>
          <cell r="J25">
            <v>145</v>
          </cell>
          <cell r="K25">
            <v>2895</v>
          </cell>
          <cell r="L25">
            <v>30</v>
          </cell>
          <cell r="M25" t="str">
            <v>03.06.99</v>
          </cell>
          <cell r="N25">
            <v>155</v>
          </cell>
          <cell r="O25">
            <v>19</v>
          </cell>
          <cell r="P25">
            <v>155</v>
          </cell>
          <cell r="Q25">
            <v>19</v>
          </cell>
          <cell r="R25">
            <v>40</v>
          </cell>
          <cell r="S25">
            <v>7</v>
          </cell>
          <cell r="T25">
            <v>145</v>
          </cell>
          <cell r="U25">
            <v>6</v>
          </cell>
          <cell r="W25">
            <v>11</v>
          </cell>
          <cell r="X25">
            <v>14</v>
          </cell>
          <cell r="Z25">
            <v>6.9</v>
          </cell>
          <cell r="AA25">
            <v>18.2</v>
          </cell>
          <cell r="AB25">
            <v>7.2</v>
          </cell>
          <cell r="AC25">
            <v>28.91</v>
          </cell>
          <cell r="AD25">
            <v>30.93</v>
          </cell>
        </row>
        <row r="26">
          <cell r="A26" t="str">
            <v>20</v>
          </cell>
          <cell r="B26" t="str">
            <v>Cambay City</v>
          </cell>
          <cell r="C26" t="str">
            <v>CambayCity</v>
          </cell>
          <cell r="D26" t="str">
            <v>ONGC</v>
          </cell>
          <cell r="E26" t="str">
            <v>Urban LT</v>
          </cell>
          <cell r="F26">
            <v>14.3</v>
          </cell>
          <cell r="G26">
            <v>4</v>
          </cell>
          <cell r="I26" t="str">
            <v>50 mm 2 ACSR</v>
          </cell>
          <cell r="K26">
            <v>3855</v>
          </cell>
          <cell r="N26">
            <v>2</v>
          </cell>
          <cell r="O26">
            <v>1</v>
          </cell>
          <cell r="R26">
            <v>24</v>
          </cell>
          <cell r="S26">
            <v>1</v>
          </cell>
          <cell r="T26">
            <v>216</v>
          </cell>
          <cell r="U26">
            <v>12</v>
          </cell>
          <cell r="V26">
            <v>6</v>
          </cell>
          <cell r="W26">
            <v>6</v>
          </cell>
          <cell r="X26">
            <v>4</v>
          </cell>
          <cell r="Z26">
            <v>4</v>
          </cell>
          <cell r="AA26">
            <v>4</v>
          </cell>
          <cell r="AB26">
            <v>7.92</v>
          </cell>
          <cell r="AC26">
            <v>29.88</v>
          </cell>
          <cell r="AD26">
            <v>40.14</v>
          </cell>
        </row>
        <row r="27">
          <cell r="A27" t="str">
            <v>21</v>
          </cell>
          <cell r="B27" t="str">
            <v>Cambay City</v>
          </cell>
          <cell r="C27" t="str">
            <v>CambayCity</v>
          </cell>
          <cell r="D27" t="str">
            <v>Lunej</v>
          </cell>
          <cell r="E27" t="str">
            <v>Urban LT</v>
          </cell>
          <cell r="F27">
            <v>11.85</v>
          </cell>
          <cell r="G27">
            <v>4</v>
          </cell>
          <cell r="I27" t="str">
            <v>50 mm 2 ACSR</v>
          </cell>
          <cell r="K27">
            <v>10327</v>
          </cell>
          <cell r="N27">
            <v>63</v>
          </cell>
          <cell r="O27">
            <v>0</v>
          </cell>
          <cell r="R27">
            <v>106</v>
          </cell>
          <cell r="S27">
            <v>3</v>
          </cell>
          <cell r="T27">
            <v>326</v>
          </cell>
          <cell r="U27">
            <v>10</v>
          </cell>
          <cell r="V27">
            <v>6</v>
          </cell>
          <cell r="W27">
            <v>6</v>
          </cell>
          <cell r="X27">
            <v>4</v>
          </cell>
          <cell r="Z27">
            <v>6</v>
          </cell>
          <cell r="AA27">
            <v>10</v>
          </cell>
          <cell r="AB27">
            <v>10.45</v>
          </cell>
          <cell r="AC27">
            <v>19.399999999999999</v>
          </cell>
          <cell r="AD27">
            <v>32.92</v>
          </cell>
        </row>
        <row r="28">
          <cell r="A28" t="str">
            <v>22</v>
          </cell>
          <cell r="B28" t="str">
            <v>Anand</v>
          </cell>
          <cell r="C28" t="str">
            <v>Umreth(R)</v>
          </cell>
          <cell r="D28" t="str">
            <v>Ode(T)</v>
          </cell>
          <cell r="E28" t="str">
            <v>Urban LT</v>
          </cell>
          <cell r="F28">
            <v>16.64</v>
          </cell>
          <cell r="G28">
            <v>21.5</v>
          </cell>
          <cell r="H28">
            <v>31</v>
          </cell>
          <cell r="I28" t="str">
            <v>50 mm 2 ACSR</v>
          </cell>
          <cell r="J28">
            <v>95</v>
          </cell>
          <cell r="K28">
            <v>3374</v>
          </cell>
          <cell r="L28">
            <v>128</v>
          </cell>
          <cell r="M28" t="str">
            <v>09.08.99</v>
          </cell>
          <cell r="N28">
            <v>3059</v>
          </cell>
          <cell r="O28">
            <v>108</v>
          </cell>
          <cell r="P28">
            <v>3059</v>
          </cell>
          <cell r="Q28">
            <v>108</v>
          </cell>
          <cell r="R28">
            <v>120</v>
          </cell>
          <cell r="S28">
            <v>8</v>
          </cell>
          <cell r="T28">
            <v>250</v>
          </cell>
          <cell r="U28">
            <v>8</v>
          </cell>
          <cell r="V28">
            <v>0</v>
          </cell>
          <cell r="W28">
            <v>5</v>
          </cell>
          <cell r="X28">
            <v>2</v>
          </cell>
          <cell r="Y28">
            <v>110</v>
          </cell>
          <cell r="Z28">
            <v>2</v>
          </cell>
          <cell r="AA28">
            <v>2</v>
          </cell>
          <cell r="AB28">
            <v>5.86</v>
          </cell>
          <cell r="AC28">
            <v>34.68</v>
          </cell>
          <cell r="AD28">
            <v>39.68</v>
          </cell>
        </row>
        <row r="29">
          <cell r="A29" t="str">
            <v>23</v>
          </cell>
          <cell r="B29" t="str">
            <v>Anand City</v>
          </cell>
          <cell r="C29" t="str">
            <v>Anand City</v>
          </cell>
          <cell r="D29" t="str">
            <v>SVG</v>
          </cell>
          <cell r="E29" t="str">
            <v>Urban LT</v>
          </cell>
          <cell r="F29">
            <v>11.19</v>
          </cell>
          <cell r="G29">
            <v>89.19</v>
          </cell>
          <cell r="H29">
            <v>81</v>
          </cell>
          <cell r="I29" t="str">
            <v>50 mm 2 ACSR</v>
          </cell>
          <cell r="J29">
            <v>200</v>
          </cell>
          <cell r="K29">
            <v>8565</v>
          </cell>
          <cell r="L29">
            <v>282</v>
          </cell>
          <cell r="M29">
            <v>36586</v>
          </cell>
          <cell r="N29">
            <v>5752</v>
          </cell>
          <cell r="O29">
            <v>504</v>
          </cell>
          <cell r="P29">
            <v>5511</v>
          </cell>
          <cell r="Q29">
            <v>504</v>
          </cell>
          <cell r="R29">
            <v>362</v>
          </cell>
          <cell r="S29">
            <v>26</v>
          </cell>
          <cell r="T29">
            <v>659</v>
          </cell>
          <cell r="U29">
            <v>45</v>
          </cell>
          <cell r="X29">
            <v>11</v>
          </cell>
          <cell r="Z29">
            <v>10.5</v>
          </cell>
          <cell r="AA29">
            <v>5.5</v>
          </cell>
          <cell r="AB29">
            <v>15.27</v>
          </cell>
          <cell r="AC29">
            <v>30.67</v>
          </cell>
          <cell r="AD29">
            <v>32.9</v>
          </cell>
        </row>
        <row r="30">
          <cell r="A30" t="str">
            <v>24</v>
          </cell>
          <cell r="B30" t="str">
            <v>Anand City</v>
          </cell>
          <cell r="C30" t="str">
            <v>Anand City</v>
          </cell>
          <cell r="D30" t="str">
            <v>Anand City-2</v>
          </cell>
          <cell r="E30" t="str">
            <v>Urban LT</v>
          </cell>
          <cell r="F30">
            <v>8.17</v>
          </cell>
          <cell r="G30">
            <v>76.66</v>
          </cell>
          <cell r="H30">
            <v>59</v>
          </cell>
          <cell r="I30" t="str">
            <v>50 mm 2 ACSR</v>
          </cell>
          <cell r="J30">
            <v>175</v>
          </cell>
          <cell r="K30">
            <v>10513</v>
          </cell>
          <cell r="M30">
            <v>36586</v>
          </cell>
          <cell r="N30">
            <v>4006</v>
          </cell>
          <cell r="O30">
            <v>806</v>
          </cell>
          <cell r="P30">
            <v>3901</v>
          </cell>
          <cell r="Q30">
            <v>806</v>
          </cell>
          <cell r="R30">
            <v>208</v>
          </cell>
          <cell r="S30">
            <v>38</v>
          </cell>
          <cell r="T30">
            <v>278</v>
          </cell>
          <cell r="U30">
            <v>76</v>
          </cell>
          <cell r="X30">
            <v>12</v>
          </cell>
          <cell r="Z30">
            <v>11</v>
          </cell>
          <cell r="AA30">
            <v>13.5</v>
          </cell>
          <cell r="AB30">
            <v>10.08</v>
          </cell>
          <cell r="AC30">
            <v>32.65</v>
          </cell>
          <cell r="AD30">
            <v>34.72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shp_T_D_drive"/>
      <sheetName val="do"/>
      <sheetName val="shp_T&amp;D_drive"/>
      <sheetName val="shp_T&amp;D_drive (2)"/>
      <sheetName val="shp_sch"/>
      <sheetName val="And_City"/>
      <sheetName val="shp_td-comp   s"/>
      <sheetName val="shp_td-comp aug"/>
      <sheetName val="Chart1"/>
      <sheetName val="Chart2"/>
      <sheetName val="Shp-25 fdrs comp  s"/>
      <sheetName val="shp_divisionwise_units"/>
      <sheetName val="shp_divisionwise_units jul-00  "/>
      <sheetName val="Shp-sdn wise data  s"/>
      <sheetName val="Shp-25 fdrs data  s"/>
      <sheetName val="Shp-sdn wise_GIDC fdrs"/>
      <sheetName val="Shp-sdn wise_ind fdrs "/>
      <sheetName val="Shp-sdn wise_Urban fdrs"/>
      <sheetName val="Shp-sdn wise_Urban fdrs dm"/>
      <sheetName val="Chart6"/>
      <sheetName val="Revenue Data"/>
      <sheetName val="Revenue Data (2)"/>
      <sheetName val="Chart8"/>
      <sheetName val="Revenue Data (3)"/>
      <sheetName val="Chart9"/>
      <sheetName val="Revenue Data (4)"/>
      <sheetName val="consumers"/>
      <sheetName val="shp_T&amp;D_drive (3)"/>
      <sheetName val="shp_T&amp;D_drive 15_sep"/>
      <sheetName val="shp_T&amp;D_drive 15_sep (2)"/>
      <sheetName val="FDR MST"/>
      <sheetName val="PASTE"/>
      <sheetName val="zpF0001"/>
      <sheetName val="mpmla wise pp0001"/>
      <sheetName val="ACN_PLN  _2_"/>
      <sheetName val="mpmla wise pp01_02"/>
      <sheetName val="ZP AMR"/>
      <sheetName val="MTHWISE FAIL"/>
      <sheetName val="REF"/>
      <sheetName val="MASTER"/>
      <sheetName val="REL_CONN_13 "/>
      <sheetName val="LMAIN"/>
      <sheetName val="T_D COMP"/>
      <sheetName val="June_07"/>
      <sheetName val="July_07"/>
      <sheetName val="Aug_07"/>
      <sheetName val="SuvP_Ltg_Catwise"/>
      <sheetName val="PP_Ltg_Catwise"/>
      <sheetName val="SuvP_Ind_Catwise "/>
      <sheetName val="PP_Ind_Catwise "/>
      <sheetName val="Sheet3"/>
      <sheetName val="Form-B"/>
      <sheetName val="Master_Data"/>
      <sheetName val="Name of Lines"/>
      <sheetName val="DATA"/>
      <sheetName val="117"/>
      <sheetName val="PRO_39_C"/>
      <sheetName val="Recovered_Sheet5"/>
      <sheetName val="AG UN METER"/>
      <sheetName val="MLA ZP"/>
      <sheetName val="Sheet7"/>
      <sheetName val="PM_testing"/>
      <sheetName val="ACN_PLN  (2)"/>
      <sheetName val="Ag LF"/>
      <sheetName val="Jotana"/>
      <sheetName val="compar jgy"/>
      <sheetName val="COMPARE A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rgb="FFFFFF00"/>
  </sheetPr>
  <dimension ref="A2:K56"/>
  <sheetViews>
    <sheetView tabSelected="1" view="pageBreakPreview" topLeftCell="A10" zoomScale="60" zoomScaleNormal="70" workbookViewId="0">
      <selection activeCell="B3" sqref="B3"/>
    </sheetView>
  </sheetViews>
  <sheetFormatPr defaultRowHeight="12.75"/>
  <cols>
    <col min="1" max="1" width="8" style="85" customWidth="1"/>
    <col min="2" max="2" width="74.140625" style="85" customWidth="1"/>
    <col min="3" max="3" width="22" style="85" customWidth="1"/>
    <col min="4" max="4" width="25" style="85" customWidth="1"/>
    <col min="5" max="5" width="27" style="85" customWidth="1"/>
    <col min="6" max="6" width="26.42578125" style="85" customWidth="1"/>
    <col min="7" max="7" width="25" style="85" customWidth="1"/>
    <col min="8" max="8" width="20.42578125" style="85" customWidth="1"/>
    <col min="9" max="9" width="22.140625" style="85" customWidth="1"/>
    <col min="10" max="16384" width="9.140625" style="85"/>
  </cols>
  <sheetData>
    <row r="2" spans="1:9" ht="33">
      <c r="I2" s="86" t="s">
        <v>68</v>
      </c>
    </row>
    <row r="5" spans="1:9" ht="37.5">
      <c r="A5" s="375" t="s">
        <v>0</v>
      </c>
      <c r="B5" s="375"/>
      <c r="C5" s="375"/>
      <c r="D5" s="375"/>
      <c r="E5" s="375"/>
      <c r="F5" s="375"/>
      <c r="G5" s="375"/>
      <c r="H5" s="375"/>
      <c r="I5" s="375"/>
    </row>
    <row r="6" spans="1:9" ht="18" customHeight="1">
      <c r="A6" s="87"/>
      <c r="B6" s="87"/>
      <c r="C6" s="87"/>
      <c r="D6" s="87"/>
      <c r="E6" s="87"/>
    </row>
    <row r="8" spans="1:9" ht="30">
      <c r="A8" s="376" t="s">
        <v>42</v>
      </c>
      <c r="B8" s="376"/>
      <c r="C8" s="376"/>
      <c r="D8" s="376"/>
      <c r="E8" s="376"/>
      <c r="F8" s="376"/>
      <c r="G8" s="376"/>
      <c r="H8" s="376"/>
      <c r="I8" s="376"/>
    </row>
    <row r="10" spans="1:9" ht="30">
      <c r="A10" s="376" t="s">
        <v>67</v>
      </c>
      <c r="B10" s="376"/>
      <c r="C10" s="376"/>
      <c r="D10" s="376"/>
      <c r="E10" s="376"/>
      <c r="F10" s="376"/>
      <c r="G10" s="376"/>
      <c r="H10" s="376"/>
      <c r="I10" s="376"/>
    </row>
    <row r="11" spans="1:9" ht="13.5" thickBot="1"/>
    <row r="12" spans="1:9" ht="21.6" customHeight="1">
      <c r="A12" s="88"/>
      <c r="B12" s="89"/>
      <c r="C12" s="89"/>
      <c r="D12" s="383" t="s">
        <v>16</v>
      </c>
      <c r="E12" s="383"/>
      <c r="F12" s="383" t="s">
        <v>66</v>
      </c>
      <c r="G12" s="383"/>
      <c r="H12" s="383" t="s">
        <v>17</v>
      </c>
      <c r="I12" s="384"/>
    </row>
    <row r="13" spans="1:9" ht="21.6" customHeight="1">
      <c r="A13" s="90"/>
      <c r="B13" s="49"/>
      <c r="C13" s="49"/>
      <c r="D13" s="49" t="s">
        <v>14</v>
      </c>
      <c r="E13" s="49" t="s">
        <v>15</v>
      </c>
      <c r="F13" s="49" t="s">
        <v>14</v>
      </c>
      <c r="G13" s="49" t="s">
        <v>15</v>
      </c>
      <c r="H13" s="382" t="s">
        <v>14</v>
      </c>
      <c r="I13" s="377" t="s">
        <v>15</v>
      </c>
    </row>
    <row r="14" spans="1:9" ht="26.25" customHeight="1">
      <c r="A14" s="90"/>
      <c r="B14" s="49"/>
      <c r="C14" s="49"/>
      <c r="D14" s="382" t="s">
        <v>236</v>
      </c>
      <c r="E14" s="382"/>
      <c r="F14" s="382" t="s">
        <v>237</v>
      </c>
      <c r="G14" s="382"/>
      <c r="H14" s="382"/>
      <c r="I14" s="377"/>
    </row>
    <row r="15" spans="1:9" ht="24" customHeight="1">
      <c r="A15" s="90"/>
      <c r="B15" s="49"/>
      <c r="C15" s="49"/>
      <c r="D15" s="380"/>
      <c r="E15" s="381"/>
      <c r="F15" s="378"/>
      <c r="G15" s="379"/>
      <c r="H15" s="174"/>
      <c r="I15" s="163"/>
    </row>
    <row r="16" spans="1:9" ht="21.6" customHeight="1">
      <c r="A16" s="90" t="s">
        <v>63</v>
      </c>
      <c r="B16" s="92" t="s">
        <v>47</v>
      </c>
      <c r="C16" s="49"/>
      <c r="D16" s="161"/>
      <c r="E16" s="161"/>
      <c r="F16" s="153"/>
      <c r="G16" s="153"/>
      <c r="H16" s="174"/>
      <c r="I16" s="163"/>
    </row>
    <row r="17" spans="1:11" ht="21.6" customHeight="1">
      <c r="A17" s="90">
        <v>1</v>
      </c>
      <c r="B17" s="92" t="s">
        <v>122</v>
      </c>
      <c r="C17" s="49" t="s">
        <v>61</v>
      </c>
      <c r="D17" s="372">
        <f>+E17-9916.52</f>
        <v>3283.2529999999988</v>
      </c>
      <c r="E17" s="372">
        <v>13199.772999999999</v>
      </c>
      <c r="F17" s="372">
        <f>+G17-8466.56</f>
        <v>3158.8170000000009</v>
      </c>
      <c r="G17" s="385">
        <v>11625.377</v>
      </c>
      <c r="H17" s="391">
        <f>(D17-F17)/F17</f>
        <v>3.939322854093727E-2</v>
      </c>
      <c r="I17" s="394">
        <f>(E17-G17)/G17</f>
        <v>0.13542752204939235</v>
      </c>
    </row>
    <row r="18" spans="1:11" ht="21.6" customHeight="1">
      <c r="A18" s="90">
        <v>2</v>
      </c>
      <c r="B18" s="92" t="s">
        <v>110</v>
      </c>
      <c r="C18" s="49" t="s">
        <v>61</v>
      </c>
      <c r="D18" s="373"/>
      <c r="E18" s="373"/>
      <c r="F18" s="373"/>
      <c r="G18" s="386"/>
      <c r="H18" s="393"/>
      <c r="I18" s="396"/>
      <c r="J18" s="211"/>
      <c r="K18" s="212"/>
    </row>
    <row r="19" spans="1:11" ht="21.6" customHeight="1">
      <c r="A19" s="90">
        <v>3</v>
      </c>
      <c r="B19" s="92" t="s">
        <v>112</v>
      </c>
      <c r="C19" s="49" t="s">
        <v>61</v>
      </c>
      <c r="D19" s="374"/>
      <c r="E19" s="374"/>
      <c r="F19" s="374"/>
      <c r="G19" s="387"/>
      <c r="H19" s="392"/>
      <c r="I19" s="395"/>
    </row>
    <row r="20" spans="1:11" ht="21.6" customHeight="1">
      <c r="A20" s="90"/>
      <c r="B20" s="92" t="s">
        <v>113</v>
      </c>
      <c r="C20" s="49" t="s">
        <v>61</v>
      </c>
      <c r="D20" s="20"/>
      <c r="E20" s="20"/>
      <c r="F20" s="20"/>
      <c r="G20" s="20"/>
      <c r="H20" s="175"/>
      <c r="I20" s="176"/>
    </row>
    <row r="21" spans="1:11" ht="21.6" customHeight="1">
      <c r="A21" s="90"/>
      <c r="B21" s="92" t="s">
        <v>114</v>
      </c>
      <c r="C21" s="49" t="s">
        <v>61</v>
      </c>
      <c r="D21" s="20"/>
      <c r="E21" s="20"/>
      <c r="F21" s="20"/>
      <c r="G21" s="20"/>
      <c r="H21" s="175"/>
      <c r="I21" s="176"/>
    </row>
    <row r="22" spans="1:11" ht="21.6" customHeight="1">
      <c r="A22" s="90"/>
      <c r="B22" s="92" t="s">
        <v>48</v>
      </c>
      <c r="C22" s="49" t="s">
        <v>61</v>
      </c>
      <c r="D22" s="171">
        <f>+D17+D20+D21</f>
        <v>3283.2529999999988</v>
      </c>
      <c r="E22" s="171">
        <f>+E17+E20+E21</f>
        <v>13199.772999999999</v>
      </c>
      <c r="F22" s="200">
        <f>+F17+F20+F21</f>
        <v>3158.8170000000009</v>
      </c>
      <c r="G22" s="200">
        <f>+G17+G20+G21</f>
        <v>11625.377</v>
      </c>
      <c r="H22" s="173">
        <f>(D22-F22)/F22</f>
        <v>3.939322854093727E-2</v>
      </c>
      <c r="I22" s="177">
        <f>(E22-G22)/G22</f>
        <v>0.13542752204939235</v>
      </c>
    </row>
    <row r="23" spans="1:11" ht="21.6" customHeight="1">
      <c r="A23" s="90"/>
      <c r="B23" s="92"/>
      <c r="C23" s="49"/>
      <c r="D23" s="20"/>
      <c r="E23" s="20"/>
      <c r="F23" s="20"/>
      <c r="G23" s="20"/>
      <c r="H23" s="175"/>
      <c r="I23" s="176"/>
    </row>
    <row r="24" spans="1:11" ht="21.6" customHeight="1">
      <c r="A24" s="90" t="s">
        <v>64</v>
      </c>
      <c r="B24" s="92" t="s">
        <v>49</v>
      </c>
      <c r="C24" s="49"/>
      <c r="D24" s="20"/>
      <c r="E24" s="20"/>
      <c r="F24" s="20"/>
      <c r="G24" s="20"/>
      <c r="H24" s="175"/>
      <c r="I24" s="176"/>
    </row>
    <row r="25" spans="1:11" ht="21.6" customHeight="1">
      <c r="A25" s="90">
        <v>1</v>
      </c>
      <c r="B25" s="92" t="s">
        <v>50</v>
      </c>
      <c r="C25" s="49" t="s">
        <v>61</v>
      </c>
      <c r="D25" s="171">
        <f>+D17</f>
        <v>3283.2529999999988</v>
      </c>
      <c r="E25" s="171">
        <f>+E22</f>
        <v>13199.772999999999</v>
      </c>
      <c r="F25" s="200">
        <f>+F17</f>
        <v>3158.8170000000009</v>
      </c>
      <c r="G25" s="200">
        <f>+G22</f>
        <v>11625.377</v>
      </c>
      <c r="H25" s="173">
        <f t="shared" ref="H25:I37" si="0">(D25-F25)/F25</f>
        <v>3.939322854093727E-2</v>
      </c>
      <c r="I25" s="177">
        <f t="shared" si="0"/>
        <v>0.13542752204939235</v>
      </c>
    </row>
    <row r="26" spans="1:11" ht="21.6" customHeight="1">
      <c r="A26" s="90">
        <v>2</v>
      </c>
      <c r="B26" s="92" t="s">
        <v>51</v>
      </c>
      <c r="C26" s="49" t="s">
        <v>61</v>
      </c>
      <c r="D26" s="171">
        <f>+D25</f>
        <v>3283.2529999999988</v>
      </c>
      <c r="E26" s="171">
        <f>+E25</f>
        <v>13199.772999999999</v>
      </c>
      <c r="F26" s="200">
        <f>+F25</f>
        <v>3158.8170000000009</v>
      </c>
      <c r="G26" s="200">
        <f>+G25</f>
        <v>11625.377</v>
      </c>
      <c r="H26" s="173">
        <f t="shared" si="0"/>
        <v>3.939322854093727E-2</v>
      </c>
      <c r="I26" s="177">
        <f t="shared" si="0"/>
        <v>0.13542752204939235</v>
      </c>
    </row>
    <row r="27" spans="1:11" ht="21.6" customHeight="1">
      <c r="A27" s="90">
        <v>3</v>
      </c>
      <c r="B27" s="92" t="s">
        <v>111</v>
      </c>
      <c r="C27" s="49" t="s">
        <v>61</v>
      </c>
      <c r="D27" s="171">
        <f>+E27-8590.02</f>
        <v>2868.08</v>
      </c>
      <c r="E27" s="171">
        <v>11458.1</v>
      </c>
      <c r="F27" s="237">
        <f>+G27-7212.34</f>
        <v>2743.3539999999994</v>
      </c>
      <c r="G27" s="239">
        <v>9955.6939999999995</v>
      </c>
      <c r="H27" s="173">
        <f t="shared" si="0"/>
        <v>4.5464785076953465E-2</v>
      </c>
      <c r="I27" s="177">
        <f t="shared" si="0"/>
        <v>0.15090921838296767</v>
      </c>
    </row>
    <row r="28" spans="1:11" ht="21.6" customHeight="1">
      <c r="A28" s="90">
        <v>4</v>
      </c>
      <c r="B28" s="92" t="s">
        <v>115</v>
      </c>
      <c r="C28" s="49" t="s">
        <v>61</v>
      </c>
      <c r="D28" s="171">
        <f>+D26-D27</f>
        <v>415.17299999999886</v>
      </c>
      <c r="E28" s="171">
        <f>+E26-E27</f>
        <v>1741.6729999999989</v>
      </c>
      <c r="F28" s="200">
        <f>+F26-F27</f>
        <v>415.46300000000156</v>
      </c>
      <c r="G28" s="200">
        <f>+G26-G27</f>
        <v>1669.6830000000009</v>
      </c>
      <c r="H28" s="173">
        <f t="shared" si="0"/>
        <v>-6.9801642986906415E-4</v>
      </c>
      <c r="I28" s="173">
        <f t="shared" si="0"/>
        <v>4.311596871980964E-2</v>
      </c>
    </row>
    <row r="29" spans="1:11" ht="21.6" customHeight="1">
      <c r="A29" s="90">
        <v>5</v>
      </c>
      <c r="B29" s="92" t="s">
        <v>52</v>
      </c>
      <c r="C29" s="49" t="s">
        <v>34</v>
      </c>
      <c r="D29" s="172">
        <f>+(D28/D26)</f>
        <v>0.12645172333658083</v>
      </c>
      <c r="E29" s="172">
        <f>+(E28/E26)</f>
        <v>0.13194719333430954</v>
      </c>
      <c r="F29" s="226">
        <f>+(F28/F26)</f>
        <v>0.13152487149461378</v>
      </c>
      <c r="G29" s="226">
        <f>+(G28/G26)</f>
        <v>0.14362398741993493</v>
      </c>
      <c r="H29" s="173">
        <f>D29-F29</f>
        <v>-5.0731481580329474E-3</v>
      </c>
      <c r="I29" s="173">
        <f>E29-G29</f>
        <v>-1.1676794085625386E-2</v>
      </c>
    </row>
    <row r="30" spans="1:11" ht="21.6" customHeight="1">
      <c r="A30" s="90"/>
      <c r="B30" s="92"/>
      <c r="C30" s="49"/>
      <c r="D30" s="20"/>
      <c r="E30" s="20"/>
      <c r="F30" s="200"/>
      <c r="G30" s="200"/>
      <c r="H30" s="173"/>
      <c r="I30" s="177"/>
    </row>
    <row r="31" spans="1:11" ht="21.6" customHeight="1">
      <c r="A31" s="90" t="s">
        <v>65</v>
      </c>
      <c r="B31" s="92" t="s">
        <v>53</v>
      </c>
      <c r="C31" s="49"/>
      <c r="D31" s="20"/>
      <c r="E31" s="20"/>
      <c r="F31" s="200"/>
      <c r="G31" s="200"/>
      <c r="H31" s="173"/>
      <c r="I31" s="177"/>
    </row>
    <row r="32" spans="1:11" ht="21.6" customHeight="1">
      <c r="A32" s="90">
        <v>1</v>
      </c>
      <c r="B32" s="92" t="s">
        <v>54</v>
      </c>
      <c r="C32" s="389" t="s">
        <v>62</v>
      </c>
      <c r="D32" s="372">
        <f>+E32-6104.69</f>
        <v>2071.9799999999996</v>
      </c>
      <c r="E32" s="372">
        <f>+'SHEET-5'!E25+67.46+74.76+74.66+77.48+78.83+78.67+77.94+81.83+70.78+72.81+66.71+64.67</f>
        <v>8176.6699999999992</v>
      </c>
      <c r="F32" s="372">
        <f>+G32-5165.25</f>
        <v>1783.3200000000006</v>
      </c>
      <c r="G32" s="372">
        <f>+'SHEET-5'!G25+37.1+15.47+85.46+97.8+74.07+70.26+70.61+76.06+65.91+63.37+59.39+61.48</f>
        <v>6948.5700000000006</v>
      </c>
      <c r="H32" s="391">
        <f t="shared" si="0"/>
        <v>0.16186663077854724</v>
      </c>
      <c r="I32" s="394">
        <f t="shared" si="0"/>
        <v>0.17674140146821554</v>
      </c>
    </row>
    <row r="33" spans="1:9" ht="21.6" customHeight="1">
      <c r="A33" s="90">
        <v>2</v>
      </c>
      <c r="B33" s="92" t="s">
        <v>55</v>
      </c>
      <c r="C33" s="390"/>
      <c r="D33" s="374"/>
      <c r="E33" s="374"/>
      <c r="F33" s="374"/>
      <c r="G33" s="374"/>
      <c r="H33" s="392"/>
      <c r="I33" s="395"/>
    </row>
    <row r="34" spans="1:9" ht="21.6" customHeight="1">
      <c r="A34" s="90">
        <v>3</v>
      </c>
      <c r="B34" s="92" t="s">
        <v>56</v>
      </c>
      <c r="C34" s="49" t="s">
        <v>62</v>
      </c>
      <c r="D34" s="171">
        <f>+D32</f>
        <v>2071.9799999999996</v>
      </c>
      <c r="E34" s="171">
        <f>+E32</f>
        <v>8176.6699999999992</v>
      </c>
      <c r="F34" s="200">
        <f>+F32</f>
        <v>1783.3200000000006</v>
      </c>
      <c r="G34" s="200">
        <f>+G32</f>
        <v>6948.5700000000006</v>
      </c>
      <c r="H34" s="173">
        <f t="shared" si="0"/>
        <v>0.16186663077854724</v>
      </c>
      <c r="I34" s="177">
        <f t="shared" si="0"/>
        <v>0.17674140146821554</v>
      </c>
    </row>
    <row r="35" spans="1:9" ht="21.6" customHeight="1">
      <c r="A35" s="90">
        <v>4</v>
      </c>
      <c r="B35" s="92" t="s">
        <v>57</v>
      </c>
      <c r="C35" s="389" t="s">
        <v>62</v>
      </c>
      <c r="D35" s="385">
        <v>2217.02</v>
      </c>
      <c r="E35" s="385">
        <v>8194.66</v>
      </c>
      <c r="F35" s="385">
        <v>2006.95</v>
      </c>
      <c r="G35" s="385">
        <v>6996.51</v>
      </c>
      <c r="H35" s="391">
        <f t="shared" si="0"/>
        <v>0.10467126734597271</v>
      </c>
      <c r="I35" s="394">
        <f t="shared" si="0"/>
        <v>0.17124966590485821</v>
      </c>
    </row>
    <row r="36" spans="1:9" ht="21.6" customHeight="1">
      <c r="A36" s="90">
        <v>5</v>
      </c>
      <c r="B36" s="92" t="s">
        <v>58</v>
      </c>
      <c r="C36" s="390"/>
      <c r="D36" s="387"/>
      <c r="E36" s="387"/>
      <c r="F36" s="387"/>
      <c r="G36" s="387"/>
      <c r="H36" s="392"/>
      <c r="I36" s="395"/>
    </row>
    <row r="37" spans="1:9" ht="21.6" customHeight="1">
      <c r="A37" s="90">
        <v>6</v>
      </c>
      <c r="B37" s="92" t="s">
        <v>59</v>
      </c>
      <c r="C37" s="49" t="s">
        <v>62</v>
      </c>
      <c r="D37" s="203">
        <f>+D35</f>
        <v>2217.02</v>
      </c>
      <c r="E37" s="203">
        <f>+E35</f>
        <v>8194.66</v>
      </c>
      <c r="F37" s="200">
        <f>+F35</f>
        <v>2006.95</v>
      </c>
      <c r="G37" s="200">
        <f>+G35</f>
        <v>6996.51</v>
      </c>
      <c r="H37" s="173">
        <f t="shared" si="0"/>
        <v>0.10467126734597271</v>
      </c>
      <c r="I37" s="177">
        <f t="shared" si="0"/>
        <v>0.17124966590485821</v>
      </c>
    </row>
    <row r="38" spans="1:9" ht="21.6" customHeight="1">
      <c r="A38" s="90">
        <v>7</v>
      </c>
      <c r="B38" s="92" t="s">
        <v>60</v>
      </c>
      <c r="C38" s="49" t="s">
        <v>34</v>
      </c>
      <c r="D38" s="204">
        <f>+D37/D34</f>
        <v>1.0700006756821978</v>
      </c>
      <c r="E38" s="204">
        <f>+E37/E34</f>
        <v>1.0022001621687069</v>
      </c>
      <c r="F38" s="195">
        <f t="shared" ref="F38:G38" si="1">F37/F34</f>
        <v>1.125400937577103</v>
      </c>
      <c r="G38" s="195">
        <f t="shared" si="1"/>
        <v>1.0068992612868546</v>
      </c>
      <c r="H38" s="173">
        <f>D38-F38</f>
        <v>-5.5400261894905212E-2</v>
      </c>
      <c r="I38" s="173">
        <f>E38-G38</f>
        <v>-4.6990991181476982E-3</v>
      </c>
    </row>
    <row r="39" spans="1:9" ht="21.6" customHeight="1" thickBot="1">
      <c r="A39" s="94"/>
      <c r="B39" s="95"/>
      <c r="C39" s="21"/>
      <c r="D39" s="162"/>
      <c r="E39" s="162"/>
      <c r="F39" s="21"/>
      <c r="G39" s="21"/>
      <c r="H39" s="162"/>
      <c r="I39" s="164"/>
    </row>
    <row r="40" spans="1:9" ht="18">
      <c r="F40" s="96"/>
      <c r="G40" s="96"/>
      <c r="H40" s="5"/>
      <c r="I40" s="5"/>
    </row>
    <row r="42" spans="1:9">
      <c r="E42" s="205"/>
    </row>
    <row r="43" spans="1:9" ht="41.25" customHeight="1">
      <c r="A43" s="388"/>
      <c r="B43" s="388"/>
      <c r="D43" s="235"/>
      <c r="E43" s="216"/>
      <c r="F43" s="253"/>
      <c r="G43" s="187"/>
    </row>
    <row r="47" spans="1:9" ht="18">
      <c r="D47" s="187"/>
      <c r="E47" s="187"/>
      <c r="F47" s="215"/>
    </row>
    <row r="48" spans="1:9" ht="20.25">
      <c r="F48" s="216"/>
    </row>
    <row r="56" spans="4:4">
      <c r="D56" s="97"/>
    </row>
  </sheetData>
  <mergeCells count="33">
    <mergeCell ref="H35:H36"/>
    <mergeCell ref="H17:H19"/>
    <mergeCell ref="I35:I36"/>
    <mergeCell ref="G35:G36"/>
    <mergeCell ref="I32:I33"/>
    <mergeCell ref="G32:G33"/>
    <mergeCell ref="I17:I19"/>
    <mergeCell ref="H32:H33"/>
    <mergeCell ref="A43:B43"/>
    <mergeCell ref="D32:D33"/>
    <mergeCell ref="E32:E33"/>
    <mergeCell ref="F32:F33"/>
    <mergeCell ref="E35:E36"/>
    <mergeCell ref="D35:D36"/>
    <mergeCell ref="F35:F36"/>
    <mergeCell ref="C35:C36"/>
    <mergeCell ref="C32:C33"/>
    <mergeCell ref="D17:D19"/>
    <mergeCell ref="E17:E19"/>
    <mergeCell ref="A5:I5"/>
    <mergeCell ref="A8:I8"/>
    <mergeCell ref="A10:I10"/>
    <mergeCell ref="I13:I14"/>
    <mergeCell ref="F15:G15"/>
    <mergeCell ref="D15:E15"/>
    <mergeCell ref="D14:E14"/>
    <mergeCell ref="H12:I12"/>
    <mergeCell ref="D12:E12"/>
    <mergeCell ref="F12:G12"/>
    <mergeCell ref="H13:H14"/>
    <mergeCell ref="F14:G14"/>
    <mergeCell ref="F17:F19"/>
    <mergeCell ref="G17:G19"/>
  </mergeCells>
  <phoneticPr fontId="2" type="noConversion"/>
  <printOptions horizontalCentered="1" verticalCentered="1"/>
  <pageMargins left="0.25" right="0.25" top="0.75" bottom="0.25" header="0.5" footer="0.5"/>
  <pageSetup paperSize="9" scale="57" orientation="landscape" verticalDpi="300" r:id="rId1"/>
  <headerFooter alignWithMargins="0"/>
</worksheet>
</file>

<file path=xl/worksheets/sheet10.xml><?xml version="1.0" encoding="utf-8"?>
<worksheet xmlns="http://schemas.openxmlformats.org/spreadsheetml/2006/main" xmlns:r="http://schemas.openxmlformats.org/officeDocument/2006/relationships">
  <dimension ref="A1:M110"/>
  <sheetViews>
    <sheetView topLeftCell="A55" workbookViewId="0">
      <selection activeCell="E69" sqref="E69"/>
    </sheetView>
  </sheetViews>
  <sheetFormatPr defaultRowHeight="15" customHeight="1"/>
  <cols>
    <col min="1" max="1" width="16.140625" customWidth="1"/>
    <col min="2" max="2" width="24.7109375" customWidth="1"/>
    <col min="3" max="3" width="19.5703125" customWidth="1"/>
    <col min="4" max="4" width="20.5703125" customWidth="1"/>
    <col min="5" max="5" width="20.7109375" customWidth="1"/>
    <col min="6" max="6" width="18.42578125" customWidth="1"/>
    <col min="7" max="7" width="20.42578125" customWidth="1"/>
    <col min="8" max="8" width="16" customWidth="1"/>
    <col min="9" max="9" width="22.85546875" customWidth="1"/>
    <col min="10" max="10" width="16.28515625" customWidth="1"/>
    <col min="11" max="11" width="17.42578125" customWidth="1"/>
  </cols>
  <sheetData>
    <row r="1" spans="1:11" ht="15" customHeight="1">
      <c r="A1" s="31" t="s">
        <v>129</v>
      </c>
      <c r="B1" s="31" t="s">
        <v>130</v>
      </c>
      <c r="C1" s="32" t="s">
        <v>131</v>
      </c>
      <c r="D1" s="32" t="s">
        <v>132</v>
      </c>
      <c r="E1" s="32" t="s">
        <v>133</v>
      </c>
      <c r="F1" s="32" t="s">
        <v>134</v>
      </c>
      <c r="G1" s="32" t="s">
        <v>135</v>
      </c>
      <c r="H1" s="32" t="s">
        <v>136</v>
      </c>
      <c r="I1" s="32" t="s">
        <v>137</v>
      </c>
      <c r="J1" s="32" t="s">
        <v>138</v>
      </c>
      <c r="K1" s="32" t="s">
        <v>139</v>
      </c>
    </row>
    <row r="2" spans="1:11" ht="15" customHeight="1">
      <c r="A2" s="33" t="s">
        <v>140</v>
      </c>
      <c r="B2" s="33"/>
      <c r="C2" s="33"/>
      <c r="D2" s="33"/>
      <c r="E2" s="33"/>
      <c r="F2" s="33"/>
      <c r="G2" s="33"/>
      <c r="H2" s="33"/>
      <c r="I2" s="33"/>
      <c r="J2" s="33"/>
      <c r="K2" s="33"/>
    </row>
    <row r="3" spans="1:11" ht="15" customHeight="1">
      <c r="A3" s="34">
        <v>1</v>
      </c>
      <c r="B3" s="34" t="s">
        <v>2</v>
      </c>
      <c r="C3" s="35">
        <v>3116069269.4099998</v>
      </c>
      <c r="D3" s="35">
        <v>17043896.82</v>
      </c>
      <c r="E3" s="35">
        <v>172650.77</v>
      </c>
      <c r="F3" s="35">
        <v>343600985.27999997</v>
      </c>
      <c r="G3" s="35">
        <v>0</v>
      </c>
      <c r="H3" s="35">
        <v>73554896.5</v>
      </c>
      <c r="I3" s="35">
        <v>227109.15</v>
      </c>
      <c r="J3" s="35">
        <v>18633312.23</v>
      </c>
      <c r="K3" s="35">
        <v>3569302120.1599998</v>
      </c>
    </row>
    <row r="4" spans="1:11" ht="15" customHeight="1">
      <c r="A4" s="34">
        <v>2</v>
      </c>
      <c r="B4" s="34" t="s">
        <v>141</v>
      </c>
      <c r="C4" s="35">
        <v>71089139.950000003</v>
      </c>
      <c r="D4" s="35">
        <v>101753.87</v>
      </c>
      <c r="E4" s="35">
        <v>17040</v>
      </c>
      <c r="F4" s="35">
        <v>7364652.4699999997</v>
      </c>
      <c r="G4" s="35">
        <v>0</v>
      </c>
      <c r="H4" s="35">
        <v>748929.5</v>
      </c>
      <c r="I4" s="35">
        <v>23532.400000000001</v>
      </c>
      <c r="J4" s="35">
        <v>453786.14</v>
      </c>
      <c r="K4" s="35">
        <v>79798834.329999998</v>
      </c>
    </row>
    <row r="5" spans="1:11" ht="15" customHeight="1">
      <c r="A5" s="34">
        <v>3</v>
      </c>
      <c r="B5" s="34" t="s">
        <v>142</v>
      </c>
      <c r="C5" s="35">
        <v>2127392756.0799999</v>
      </c>
      <c r="D5" s="35">
        <v>10987310.15</v>
      </c>
      <c r="E5" s="35">
        <v>55383.85</v>
      </c>
      <c r="F5" s="35">
        <v>335242088.61000001</v>
      </c>
      <c r="G5" s="35">
        <v>0</v>
      </c>
      <c r="H5" s="35">
        <v>15904544</v>
      </c>
      <c r="I5" s="35">
        <v>285434.14</v>
      </c>
      <c r="J5" s="35">
        <v>5771228.1399999997</v>
      </c>
      <c r="K5" s="35">
        <v>2495638744.9699998</v>
      </c>
    </row>
    <row r="6" spans="1:11" ht="15" customHeight="1">
      <c r="A6" s="34"/>
      <c r="B6" s="34" t="s">
        <v>143</v>
      </c>
      <c r="C6" s="35">
        <v>78023457.159999996</v>
      </c>
      <c r="D6" s="35">
        <v>0</v>
      </c>
      <c r="E6" s="35">
        <v>0</v>
      </c>
      <c r="F6" s="35">
        <v>19271785.379999999</v>
      </c>
      <c r="G6" s="35">
        <v>0</v>
      </c>
      <c r="H6" s="35">
        <v>469841</v>
      </c>
      <c r="I6" s="35">
        <v>303675.78000000003</v>
      </c>
      <c r="J6" s="35">
        <v>245968.69</v>
      </c>
      <c r="K6" s="35">
        <v>98314728.010000005</v>
      </c>
    </row>
    <row r="7" spans="1:11" ht="15" customHeight="1">
      <c r="A7" s="34"/>
      <c r="B7" s="34" t="s">
        <v>144</v>
      </c>
      <c r="C7" s="35">
        <v>2205416213.2399998</v>
      </c>
      <c r="D7" s="35">
        <v>10987310.15</v>
      </c>
      <c r="E7" s="35">
        <v>55383.85</v>
      </c>
      <c r="F7" s="35">
        <v>354513873.99000001</v>
      </c>
      <c r="G7" s="35">
        <v>0</v>
      </c>
      <c r="H7" s="35">
        <v>16374385</v>
      </c>
      <c r="I7" s="35">
        <v>589109.92000000004</v>
      </c>
      <c r="J7" s="35">
        <v>6017196.8300000001</v>
      </c>
      <c r="K7" s="35">
        <v>2593953472.98</v>
      </c>
    </row>
    <row r="8" spans="1:11" ht="15" customHeight="1">
      <c r="A8" s="34">
        <v>4</v>
      </c>
      <c r="B8" s="34" t="s">
        <v>145</v>
      </c>
      <c r="C8" s="35">
        <v>229130849.12</v>
      </c>
      <c r="D8" s="35">
        <v>7024.2</v>
      </c>
      <c r="E8" s="35">
        <v>360</v>
      </c>
      <c r="F8" s="35">
        <v>3568735.55</v>
      </c>
      <c r="G8" s="35">
        <v>0</v>
      </c>
      <c r="H8" s="35">
        <v>1043824</v>
      </c>
      <c r="I8" s="35">
        <v>84685</v>
      </c>
      <c r="J8" s="35">
        <v>38964479.619999997</v>
      </c>
      <c r="K8" s="35">
        <v>272799957.49000001</v>
      </c>
    </row>
    <row r="9" spans="1:11" ht="15" customHeight="1">
      <c r="A9" s="34">
        <v>5</v>
      </c>
      <c r="B9" s="34" t="s">
        <v>5</v>
      </c>
      <c r="C9" s="35">
        <v>224828301.09</v>
      </c>
      <c r="D9" s="35">
        <v>1100948.82</v>
      </c>
      <c r="E9" s="35">
        <v>69162.009999999995</v>
      </c>
      <c r="F9" s="35">
        <v>32851.339999999997</v>
      </c>
      <c r="G9" s="35">
        <v>0</v>
      </c>
      <c r="H9" s="35">
        <v>6727882.5</v>
      </c>
      <c r="I9" s="35">
        <v>96521.78</v>
      </c>
      <c r="J9" s="35">
        <v>1507359.23</v>
      </c>
      <c r="K9" s="35">
        <v>234363026.77000001</v>
      </c>
    </row>
    <row r="10" spans="1:11" ht="15" customHeight="1">
      <c r="A10" s="34">
        <v>6</v>
      </c>
      <c r="B10" s="34" t="s">
        <v>146</v>
      </c>
      <c r="C10" s="35">
        <v>93088768.859999999</v>
      </c>
      <c r="D10" s="35">
        <v>0</v>
      </c>
      <c r="E10" s="35">
        <v>0</v>
      </c>
      <c r="F10" s="35">
        <v>833815.28</v>
      </c>
      <c r="G10" s="35">
        <v>0</v>
      </c>
      <c r="H10" s="35">
        <v>302109.5</v>
      </c>
      <c r="I10" s="35">
        <v>89765.18</v>
      </c>
      <c r="J10" s="35">
        <v>4559629.57</v>
      </c>
      <c r="K10" s="35">
        <v>98874088.390000001</v>
      </c>
    </row>
    <row r="11" spans="1:11" ht="15" customHeight="1">
      <c r="A11" s="34">
        <v>7</v>
      </c>
      <c r="B11" s="34" t="s">
        <v>147</v>
      </c>
      <c r="C11" s="35">
        <v>2188369.91</v>
      </c>
      <c r="D11" s="35">
        <v>52177.62</v>
      </c>
      <c r="E11" s="35">
        <v>0</v>
      </c>
      <c r="F11" s="35">
        <v>239472.02</v>
      </c>
      <c r="G11" s="35">
        <v>0</v>
      </c>
      <c r="H11" s="35">
        <v>183965.5</v>
      </c>
      <c r="I11" s="35">
        <v>10954.81</v>
      </c>
      <c r="J11" s="35">
        <v>1881544.86</v>
      </c>
      <c r="K11" s="35">
        <v>4556484.72</v>
      </c>
    </row>
    <row r="12" spans="1:11" ht="15" customHeight="1">
      <c r="A12" s="34">
        <v>8</v>
      </c>
      <c r="B12" s="34" t="s">
        <v>148</v>
      </c>
      <c r="C12" s="35">
        <v>1346751.03</v>
      </c>
      <c r="D12" s="35">
        <v>29611.200000000001</v>
      </c>
      <c r="E12" s="35">
        <v>0</v>
      </c>
      <c r="F12" s="35">
        <v>0</v>
      </c>
      <c r="G12" s="35">
        <v>0</v>
      </c>
      <c r="H12" s="35">
        <v>0</v>
      </c>
      <c r="I12" s="35">
        <v>0</v>
      </c>
      <c r="J12" s="35">
        <v>12750.19</v>
      </c>
      <c r="K12" s="35">
        <v>1389112.42</v>
      </c>
    </row>
    <row r="13" spans="1:11" ht="15" customHeight="1">
      <c r="A13" s="34">
        <v>9</v>
      </c>
      <c r="B13" s="34" t="s">
        <v>149</v>
      </c>
      <c r="C13" s="35">
        <v>0</v>
      </c>
      <c r="D13" s="35">
        <v>3642101.75</v>
      </c>
      <c r="E13" s="35">
        <v>0</v>
      </c>
      <c r="F13" s="35">
        <v>384932.08</v>
      </c>
      <c r="G13" s="35">
        <v>0</v>
      </c>
      <c r="H13" s="35">
        <v>0</v>
      </c>
      <c r="I13" s="35">
        <v>46327.9</v>
      </c>
      <c r="J13" s="35">
        <v>55.4</v>
      </c>
      <c r="K13" s="35">
        <v>4073417.13</v>
      </c>
    </row>
    <row r="14" spans="1:11" ht="15" customHeight="1">
      <c r="A14" s="34">
        <v>10</v>
      </c>
      <c r="B14" s="34" t="s">
        <v>150</v>
      </c>
      <c r="C14" s="35">
        <v>5861599084.5100002</v>
      </c>
      <c r="D14" s="35">
        <v>29240933.859999999</v>
      </c>
      <c r="E14" s="35">
        <v>314596.63</v>
      </c>
      <c r="F14" s="35">
        <v>690643128.52999997</v>
      </c>
      <c r="G14" s="35">
        <v>0</v>
      </c>
      <c r="H14" s="35">
        <v>98282186</v>
      </c>
      <c r="I14" s="35">
        <v>807047.65</v>
      </c>
      <c r="J14" s="35">
        <v>69889794.930000007</v>
      </c>
      <c r="K14" s="35">
        <v>6750776772.1099997</v>
      </c>
    </row>
    <row r="15" spans="1:11" ht="15" customHeight="1">
      <c r="A15" s="34">
        <v>11</v>
      </c>
      <c r="B15" s="34" t="s">
        <v>151</v>
      </c>
      <c r="C15" s="35">
        <v>3535120.94</v>
      </c>
      <c r="D15" s="35">
        <v>81788.820000000007</v>
      </c>
      <c r="E15" s="35">
        <v>0</v>
      </c>
      <c r="F15" s="35">
        <v>239472.02</v>
      </c>
      <c r="G15" s="35">
        <v>0</v>
      </c>
      <c r="H15" s="35">
        <v>183965.5</v>
      </c>
      <c r="I15" s="35">
        <v>10954.81</v>
      </c>
      <c r="J15" s="35">
        <v>1894295.05</v>
      </c>
      <c r="K15" s="35">
        <v>5945597.1399999997</v>
      </c>
    </row>
    <row r="16" spans="1:11" ht="15" customHeight="1">
      <c r="A16" s="34">
        <v>12</v>
      </c>
      <c r="B16" s="34" t="s">
        <v>152</v>
      </c>
      <c r="C16" s="35">
        <v>78023457.159999996</v>
      </c>
      <c r="D16" s="35">
        <v>3642101.75</v>
      </c>
      <c r="E16" s="35">
        <v>0</v>
      </c>
      <c r="F16" s="35">
        <v>19656717.460000001</v>
      </c>
      <c r="G16" s="35">
        <v>0</v>
      </c>
      <c r="H16" s="35">
        <v>469841</v>
      </c>
      <c r="I16" s="35">
        <v>350003.68</v>
      </c>
      <c r="J16" s="35">
        <v>246024.09</v>
      </c>
      <c r="K16" s="35">
        <v>102388145.14</v>
      </c>
    </row>
    <row r="17" spans="1:11" ht="15" customHeight="1">
      <c r="A17" s="34">
        <v>13</v>
      </c>
      <c r="B17" s="34" t="s">
        <v>153</v>
      </c>
      <c r="C17" s="35">
        <v>5943157662.6099997</v>
      </c>
      <c r="D17" s="35">
        <v>32964824.43</v>
      </c>
      <c r="E17" s="35">
        <v>314596.63</v>
      </c>
      <c r="F17" s="35">
        <v>710539318.00999999</v>
      </c>
      <c r="G17" s="35">
        <v>0</v>
      </c>
      <c r="H17" s="35">
        <v>98935992.5</v>
      </c>
      <c r="I17" s="35">
        <v>1168006.1399999999</v>
      </c>
      <c r="J17" s="35">
        <v>72030114.069999993</v>
      </c>
      <c r="K17" s="35">
        <v>6859110514.3900003</v>
      </c>
    </row>
    <row r="18" spans="1:11" ht="15" customHeight="1">
      <c r="A18" s="33" t="s">
        <v>140</v>
      </c>
      <c r="B18" s="33"/>
      <c r="C18" s="33"/>
      <c r="D18" s="33"/>
      <c r="E18" s="33"/>
      <c r="F18" s="33"/>
      <c r="G18" s="33"/>
      <c r="H18" s="33"/>
      <c r="I18" s="33"/>
      <c r="J18" s="33"/>
      <c r="K18" s="33"/>
    </row>
    <row r="19" spans="1:11" ht="15" customHeight="1">
      <c r="A19" s="36" t="s">
        <v>154</v>
      </c>
      <c r="B19" s="36"/>
      <c r="C19" s="36"/>
      <c r="D19" s="36"/>
      <c r="E19" s="36"/>
      <c r="F19" s="36"/>
      <c r="G19" s="36"/>
      <c r="H19" s="36"/>
      <c r="I19" s="36"/>
      <c r="J19" s="36"/>
      <c r="K19" s="36"/>
    </row>
    <row r="20" spans="1:11" ht="15" customHeight="1">
      <c r="A20" s="33" t="s">
        <v>140</v>
      </c>
      <c r="B20" s="33"/>
      <c r="C20" s="33"/>
      <c r="D20" s="33"/>
      <c r="E20" s="33"/>
      <c r="F20" s="33"/>
      <c r="G20" s="33"/>
      <c r="H20" s="33"/>
      <c r="I20" s="33"/>
      <c r="J20" s="33"/>
      <c r="K20" s="33"/>
    </row>
    <row r="21" spans="1:11" ht="15" customHeight="1">
      <c r="A21" s="31" t="s">
        <v>129</v>
      </c>
      <c r="B21" s="31" t="s">
        <v>130</v>
      </c>
      <c r="C21" s="32" t="s">
        <v>155</v>
      </c>
      <c r="D21" s="32" t="s">
        <v>156</v>
      </c>
      <c r="E21" s="32" t="s">
        <v>157</v>
      </c>
      <c r="F21" s="32" t="s">
        <v>158</v>
      </c>
      <c r="G21" s="32" t="s">
        <v>159</v>
      </c>
      <c r="H21" s="32" t="s">
        <v>160</v>
      </c>
      <c r="I21" s="32" t="s">
        <v>161</v>
      </c>
      <c r="J21" s="32" t="s">
        <v>162</v>
      </c>
      <c r="K21" s="32" t="s">
        <v>163</v>
      </c>
    </row>
    <row r="22" spans="1:11" ht="15" customHeight="1">
      <c r="A22" s="33" t="s">
        <v>140</v>
      </c>
      <c r="B22" s="33"/>
      <c r="C22" s="33"/>
      <c r="D22" s="33"/>
      <c r="E22" s="33"/>
      <c r="F22" s="33"/>
      <c r="G22" s="33"/>
      <c r="H22" s="33"/>
      <c r="I22" s="33"/>
      <c r="J22" s="33"/>
      <c r="K22" s="33"/>
    </row>
    <row r="23" spans="1:11" ht="15" customHeight="1">
      <c r="A23" s="34">
        <v>1</v>
      </c>
      <c r="B23" s="34" t="s">
        <v>2</v>
      </c>
      <c r="C23" s="35">
        <v>1178560</v>
      </c>
      <c r="D23" s="35">
        <v>547896815</v>
      </c>
      <c r="E23" s="35">
        <v>108936347.28</v>
      </c>
      <c r="F23" s="35">
        <v>2277778320.7800002</v>
      </c>
      <c r="G23" s="35">
        <v>698827103.16999996</v>
      </c>
      <c r="H23" s="35">
        <v>0</v>
      </c>
      <c r="I23" s="35">
        <v>23878038.489999998</v>
      </c>
      <c r="J23" s="35">
        <v>6649459.6900000004</v>
      </c>
      <c r="K23" s="35">
        <v>3116069269.4099998</v>
      </c>
    </row>
    <row r="24" spans="1:11" ht="15" customHeight="1">
      <c r="A24" s="34">
        <v>2</v>
      </c>
      <c r="B24" s="34" t="s">
        <v>141</v>
      </c>
      <c r="C24" s="35">
        <v>10324</v>
      </c>
      <c r="D24" s="35">
        <v>12238984</v>
      </c>
      <c r="E24" s="35">
        <v>3352066.04</v>
      </c>
      <c r="F24" s="35">
        <v>49361466.770000003</v>
      </c>
      <c r="G24" s="35">
        <v>14977587.99</v>
      </c>
      <c r="H24" s="35">
        <v>0</v>
      </c>
      <c r="I24" s="35">
        <v>3186689.16</v>
      </c>
      <c r="J24" s="35">
        <v>211329.99</v>
      </c>
      <c r="K24" s="35">
        <v>71089139.950000003</v>
      </c>
    </row>
    <row r="25" spans="1:11" ht="15" customHeight="1">
      <c r="A25" s="34">
        <v>3</v>
      </c>
      <c r="B25" s="34" t="s">
        <v>142</v>
      </c>
      <c r="C25" s="35">
        <v>141223</v>
      </c>
      <c r="D25" s="35">
        <v>308942121</v>
      </c>
      <c r="E25" s="35">
        <v>209816323.53</v>
      </c>
      <c r="F25" s="35">
        <v>1506771323.96</v>
      </c>
      <c r="G25" s="35">
        <v>383974357.43000001</v>
      </c>
      <c r="H25" s="35">
        <v>243868.04</v>
      </c>
      <c r="I25" s="35">
        <v>12422367.029999999</v>
      </c>
      <c r="J25" s="35">
        <v>14164516.09</v>
      </c>
      <c r="K25" s="35">
        <v>2127392756.0799999</v>
      </c>
    </row>
    <row r="26" spans="1:11" ht="15" customHeight="1">
      <c r="A26" s="34"/>
      <c r="B26" s="34" t="s">
        <v>143</v>
      </c>
      <c r="C26" s="35">
        <v>4704</v>
      </c>
      <c r="D26" s="35">
        <v>8930434</v>
      </c>
      <c r="E26" s="35">
        <v>26180158.879999999</v>
      </c>
      <c r="F26" s="35">
        <v>41354591.560000002</v>
      </c>
      <c r="G26" s="35">
        <v>10417808.65</v>
      </c>
      <c r="H26" s="35">
        <v>0</v>
      </c>
      <c r="I26" s="35">
        <v>0</v>
      </c>
      <c r="J26" s="35">
        <v>70898.070000000007</v>
      </c>
      <c r="K26" s="35">
        <v>78023457.159999996</v>
      </c>
    </row>
    <row r="27" spans="1:11" ht="15" customHeight="1">
      <c r="A27" s="34"/>
      <c r="B27" s="34" t="s">
        <v>144</v>
      </c>
      <c r="C27" s="35">
        <v>145927</v>
      </c>
      <c r="D27" s="35">
        <v>317872555</v>
      </c>
      <c r="E27" s="35">
        <v>235996482.41</v>
      </c>
      <c r="F27" s="35">
        <v>1548125915.52</v>
      </c>
      <c r="G27" s="35">
        <v>394392166.07999998</v>
      </c>
      <c r="H27" s="35">
        <v>243868.04</v>
      </c>
      <c r="I27" s="35">
        <v>12422367.029999999</v>
      </c>
      <c r="J27" s="35">
        <v>14235414.16</v>
      </c>
      <c r="K27" s="35">
        <v>2205416213.2399998</v>
      </c>
    </row>
    <row r="28" spans="1:11" ht="15" customHeight="1">
      <c r="A28" s="34">
        <v>4</v>
      </c>
      <c r="B28" s="34" t="s">
        <v>145</v>
      </c>
      <c r="C28" s="35">
        <v>8003</v>
      </c>
      <c r="D28" s="35">
        <v>48527153</v>
      </c>
      <c r="E28" s="35">
        <v>1355207.11</v>
      </c>
      <c r="F28" s="35">
        <v>164401308.53999999</v>
      </c>
      <c r="G28" s="35">
        <v>58237665.729999997</v>
      </c>
      <c r="H28" s="35">
        <v>0</v>
      </c>
      <c r="I28" s="35">
        <v>2690678.79</v>
      </c>
      <c r="J28" s="35">
        <v>2445988.9500000002</v>
      </c>
      <c r="K28" s="35">
        <v>229130849.12</v>
      </c>
    </row>
    <row r="29" spans="1:11" ht="15" customHeight="1">
      <c r="A29" s="34">
        <v>5</v>
      </c>
      <c r="B29" s="34" t="s">
        <v>5</v>
      </c>
      <c r="C29" s="35">
        <v>64962</v>
      </c>
      <c r="D29" s="35">
        <v>168792969</v>
      </c>
      <c r="E29" s="35">
        <v>32021768.899999999</v>
      </c>
      <c r="F29" s="35">
        <v>186279271.38999999</v>
      </c>
      <c r="G29" s="35">
        <v>0</v>
      </c>
      <c r="H29" s="35">
        <v>0</v>
      </c>
      <c r="I29" s="35">
        <v>5083644.16</v>
      </c>
      <c r="J29" s="35">
        <v>1443616.64</v>
      </c>
      <c r="K29" s="35">
        <v>224828301.09</v>
      </c>
    </row>
    <row r="30" spans="1:11" ht="15" customHeight="1">
      <c r="A30" s="34">
        <v>6</v>
      </c>
      <c r="B30" s="34" t="s">
        <v>146</v>
      </c>
      <c r="C30" s="35">
        <v>4333</v>
      </c>
      <c r="D30" s="35">
        <v>15223858</v>
      </c>
      <c r="E30" s="35">
        <v>212629.18</v>
      </c>
      <c r="F30" s="35">
        <v>71319701.260000005</v>
      </c>
      <c r="G30" s="35">
        <v>20672610.43</v>
      </c>
      <c r="H30" s="35">
        <v>0</v>
      </c>
      <c r="I30" s="35">
        <v>303088.92</v>
      </c>
      <c r="J30" s="35">
        <v>580739.06999999995</v>
      </c>
      <c r="K30" s="35">
        <v>93088768.859999999</v>
      </c>
    </row>
    <row r="31" spans="1:11" ht="15" customHeight="1">
      <c r="A31" s="34">
        <v>7</v>
      </c>
      <c r="B31" s="34" t="s">
        <v>147</v>
      </c>
      <c r="C31" s="35">
        <v>75006</v>
      </c>
      <c r="D31" s="35">
        <v>254352</v>
      </c>
      <c r="E31" s="35">
        <v>0</v>
      </c>
      <c r="F31" s="35">
        <v>0</v>
      </c>
      <c r="G31" s="35">
        <v>0</v>
      </c>
      <c r="H31" s="35">
        <v>0</v>
      </c>
      <c r="I31" s="35">
        <v>0</v>
      </c>
      <c r="J31" s="35">
        <v>2188369.91</v>
      </c>
      <c r="K31" s="35">
        <v>2188369.91</v>
      </c>
    </row>
    <row r="32" spans="1:11" ht="15" customHeight="1">
      <c r="A32" s="34">
        <v>8</v>
      </c>
      <c r="B32" s="34" t="s">
        <v>148</v>
      </c>
      <c r="C32" s="35">
        <v>2231</v>
      </c>
      <c r="D32" s="35">
        <v>0</v>
      </c>
      <c r="E32" s="35">
        <v>1316135.1299999999</v>
      </c>
      <c r="F32" s="35">
        <v>5130</v>
      </c>
      <c r="G32" s="35">
        <v>0</v>
      </c>
      <c r="H32" s="35">
        <v>0</v>
      </c>
      <c r="I32" s="35">
        <v>0</v>
      </c>
      <c r="J32" s="35">
        <v>25485.9</v>
      </c>
      <c r="K32" s="35">
        <v>1346751.03</v>
      </c>
    </row>
    <row r="33" spans="1:11" ht="15" customHeight="1">
      <c r="A33" s="34">
        <v>9</v>
      </c>
      <c r="B33" s="34" t="s">
        <v>149</v>
      </c>
      <c r="C33" s="35">
        <v>255</v>
      </c>
      <c r="D33" s="35">
        <v>740096</v>
      </c>
      <c r="E33" s="35">
        <v>0</v>
      </c>
      <c r="F33" s="35">
        <v>0</v>
      </c>
      <c r="G33" s="35">
        <v>0</v>
      </c>
      <c r="H33" s="35">
        <v>0</v>
      </c>
      <c r="I33" s="35">
        <v>0</v>
      </c>
      <c r="J33" s="35">
        <v>0</v>
      </c>
      <c r="K33" s="35">
        <v>0</v>
      </c>
    </row>
    <row r="34" spans="1:11" ht="15" customHeight="1">
      <c r="A34" s="34">
        <v>10</v>
      </c>
      <c r="B34" s="34" t="s">
        <v>150</v>
      </c>
      <c r="C34" s="35">
        <v>1407405</v>
      </c>
      <c r="D34" s="35">
        <v>1101621900</v>
      </c>
      <c r="E34" s="35">
        <v>355694342.04000002</v>
      </c>
      <c r="F34" s="35">
        <v>4255911392.6999998</v>
      </c>
      <c r="G34" s="35">
        <v>1176689324.75</v>
      </c>
      <c r="H34" s="35">
        <v>243868.04</v>
      </c>
      <c r="I34" s="35">
        <v>47564506.549999997</v>
      </c>
      <c r="J34" s="35">
        <v>25495650.43</v>
      </c>
      <c r="K34" s="35">
        <v>5861599084.5100002</v>
      </c>
    </row>
    <row r="35" spans="1:11" ht="15" customHeight="1">
      <c r="A35" s="34">
        <v>11</v>
      </c>
      <c r="B35" s="34" t="s">
        <v>164</v>
      </c>
      <c r="C35" s="35">
        <v>77237</v>
      </c>
      <c r="D35" s="35">
        <v>254352</v>
      </c>
      <c r="E35" s="35">
        <v>1316135.1299999999</v>
      </c>
      <c r="F35" s="35">
        <v>5130</v>
      </c>
      <c r="G35" s="35">
        <v>0</v>
      </c>
      <c r="H35" s="35">
        <v>0</v>
      </c>
      <c r="I35" s="35">
        <v>0</v>
      </c>
      <c r="J35" s="35">
        <v>2213855.81</v>
      </c>
      <c r="K35" s="35">
        <v>3535120.94</v>
      </c>
    </row>
    <row r="36" spans="1:11" ht="15" customHeight="1">
      <c r="A36" s="34">
        <v>12</v>
      </c>
      <c r="B36" s="34" t="s">
        <v>152</v>
      </c>
      <c r="C36" s="35">
        <v>4959</v>
      </c>
      <c r="D36" s="35">
        <v>9670530</v>
      </c>
      <c r="E36" s="35">
        <v>26180158.879999999</v>
      </c>
      <c r="F36" s="35">
        <v>41354591.560000002</v>
      </c>
      <c r="G36" s="35">
        <v>10417808.65</v>
      </c>
      <c r="H36" s="35">
        <v>0</v>
      </c>
      <c r="I36" s="35">
        <v>0</v>
      </c>
      <c r="J36" s="35">
        <v>70898.070000000007</v>
      </c>
      <c r="K36" s="35">
        <v>78023457.159999996</v>
      </c>
    </row>
    <row r="37" spans="1:11" ht="15" customHeight="1">
      <c r="A37" s="34">
        <v>13</v>
      </c>
      <c r="B37" s="34" t="s">
        <v>153</v>
      </c>
      <c r="C37" s="35">
        <v>1489601</v>
      </c>
      <c r="D37" s="35">
        <v>1111546782</v>
      </c>
      <c r="E37" s="35">
        <v>383190636.05000001</v>
      </c>
      <c r="F37" s="35">
        <v>4297271114.2600002</v>
      </c>
      <c r="G37" s="35">
        <v>1187107133.4000001</v>
      </c>
      <c r="H37" s="35">
        <v>243868.04</v>
      </c>
      <c r="I37" s="35">
        <v>47564506.549999997</v>
      </c>
      <c r="J37" s="35">
        <v>27780404.309999999</v>
      </c>
      <c r="K37" s="35">
        <v>5943157662.6099997</v>
      </c>
    </row>
    <row r="38" spans="1:11" ht="15" customHeight="1">
      <c r="A38" s="33" t="s">
        <v>140</v>
      </c>
      <c r="B38" s="33"/>
      <c r="C38" s="33"/>
      <c r="D38" s="33"/>
      <c r="E38" s="33"/>
      <c r="F38" s="33"/>
      <c r="G38" s="33"/>
      <c r="H38" s="33"/>
      <c r="I38" s="33"/>
      <c r="J38" s="33"/>
      <c r="K38" s="33"/>
    </row>
    <row r="39" spans="1:11" ht="15" customHeight="1">
      <c r="A39" s="37"/>
      <c r="B39" s="37"/>
      <c r="C39" s="37"/>
      <c r="D39" s="37"/>
      <c r="E39" s="37"/>
      <c r="F39" s="37"/>
      <c r="G39" s="37"/>
      <c r="H39" s="37"/>
      <c r="I39" s="37"/>
      <c r="J39" s="37"/>
      <c r="K39" s="37"/>
    </row>
    <row r="40" spans="1:11" ht="15" customHeight="1">
      <c r="A40" s="37"/>
      <c r="B40" s="37"/>
      <c r="C40" s="37"/>
      <c r="D40" s="37"/>
      <c r="E40" s="37"/>
      <c r="F40" s="37"/>
      <c r="G40" s="37"/>
      <c r="H40" s="37"/>
      <c r="I40" s="37"/>
      <c r="J40" s="37"/>
      <c r="K40" s="37"/>
    </row>
    <row r="41" spans="1:11" ht="15" customHeight="1">
      <c r="A41" s="33" t="s">
        <v>165</v>
      </c>
      <c r="B41" s="33"/>
      <c r="C41" s="33"/>
      <c r="D41" s="33"/>
      <c r="E41" s="33"/>
      <c r="F41" s="33"/>
      <c r="G41" s="33"/>
      <c r="H41" s="33"/>
      <c r="I41" s="33"/>
      <c r="J41" s="33"/>
      <c r="K41" s="33"/>
    </row>
    <row r="42" spans="1:11" ht="15" customHeight="1">
      <c r="A42" s="36" t="s">
        <v>166</v>
      </c>
      <c r="B42" s="36"/>
      <c r="C42" s="36"/>
      <c r="D42" s="36"/>
      <c r="E42" s="36" t="s">
        <v>167</v>
      </c>
      <c r="F42" s="36"/>
      <c r="G42" s="36"/>
      <c r="H42" s="36"/>
      <c r="I42" s="36" t="s">
        <v>168</v>
      </c>
      <c r="J42" s="36"/>
      <c r="K42" s="36"/>
    </row>
    <row r="43" spans="1:11" ht="15" customHeight="1">
      <c r="A43" s="36" t="s">
        <v>169</v>
      </c>
      <c r="B43" s="36"/>
      <c r="C43" s="36" t="s">
        <v>170</v>
      </c>
      <c r="D43" s="36"/>
      <c r="E43" s="36"/>
      <c r="F43" s="36" t="s">
        <v>171</v>
      </c>
      <c r="G43" s="36"/>
      <c r="H43" s="36"/>
      <c r="I43" s="36" t="s">
        <v>172</v>
      </c>
      <c r="J43" s="36"/>
      <c r="K43" s="36"/>
    </row>
    <row r="44" spans="1:11" ht="15" customHeight="1">
      <c r="A44" s="33" t="s">
        <v>140</v>
      </c>
      <c r="B44" s="33"/>
      <c r="C44" s="33"/>
      <c r="D44" s="33"/>
      <c r="E44" s="33"/>
      <c r="F44" s="33"/>
      <c r="G44" s="33"/>
      <c r="H44" s="33"/>
      <c r="I44" s="33"/>
      <c r="J44" s="33"/>
      <c r="K44" s="33"/>
    </row>
    <row r="45" spans="1:11" ht="15" customHeight="1">
      <c r="A45" s="31" t="s">
        <v>129</v>
      </c>
      <c r="B45" s="31" t="s">
        <v>130</v>
      </c>
      <c r="C45" s="32" t="s">
        <v>155</v>
      </c>
      <c r="D45" s="32" t="s">
        <v>156</v>
      </c>
      <c r="E45" s="32" t="s">
        <v>173</v>
      </c>
      <c r="F45" s="32" t="s">
        <v>139</v>
      </c>
      <c r="G45" s="32" t="s">
        <v>174</v>
      </c>
      <c r="H45" s="32" t="s">
        <v>175</v>
      </c>
      <c r="I45" s="32" t="s">
        <v>176</v>
      </c>
      <c r="J45" s="32" t="s">
        <v>177</v>
      </c>
      <c r="K45" s="32" t="s">
        <v>178</v>
      </c>
    </row>
    <row r="46" spans="1:11" ht="15" customHeight="1">
      <c r="A46" s="33" t="s">
        <v>140</v>
      </c>
      <c r="B46" s="33"/>
      <c r="C46" s="33"/>
      <c r="D46" s="33"/>
      <c r="E46" s="33"/>
      <c r="F46" s="33"/>
      <c r="G46" s="33"/>
      <c r="H46" s="33"/>
      <c r="I46" s="33"/>
      <c r="J46" s="33"/>
      <c r="K46" s="33"/>
    </row>
    <row r="47" spans="1:11" ht="15" customHeight="1">
      <c r="A47" s="34">
        <v>1</v>
      </c>
      <c r="B47" s="34" t="s">
        <v>2</v>
      </c>
      <c r="C47" s="35">
        <v>2384733</v>
      </c>
      <c r="D47" s="35">
        <v>547896815</v>
      </c>
      <c r="E47" s="35">
        <v>471836346.87</v>
      </c>
      <c r="F47" s="35">
        <v>3569302120.1599998</v>
      </c>
      <c r="G47" s="35">
        <v>2878352034.8699999</v>
      </c>
      <c r="H47" s="35">
        <v>472789935.75</v>
      </c>
      <c r="I47" s="35">
        <v>-16439782.75</v>
      </c>
      <c r="J47" s="35">
        <v>0</v>
      </c>
      <c r="K47" s="35">
        <v>673556713.65999997</v>
      </c>
    </row>
    <row r="48" spans="1:11" ht="15" customHeight="1">
      <c r="A48" s="34">
        <v>2</v>
      </c>
      <c r="B48" s="34" t="s">
        <v>141</v>
      </c>
      <c r="C48" s="35">
        <v>19847</v>
      </c>
      <c r="D48" s="35">
        <v>12238984</v>
      </c>
      <c r="E48" s="35">
        <v>3230329.29</v>
      </c>
      <c r="F48" s="35">
        <v>79798834.329999998</v>
      </c>
      <c r="G48" s="35">
        <v>58956568.950000003</v>
      </c>
      <c r="H48" s="35">
        <v>15631265.26</v>
      </c>
      <c r="I48" s="35">
        <v>-114228.36</v>
      </c>
      <c r="J48" s="35">
        <v>0</v>
      </c>
      <c r="K48" s="35">
        <v>8327101.0499999998</v>
      </c>
    </row>
    <row r="49" spans="1:11" ht="15" customHeight="1">
      <c r="A49" s="34">
        <v>3</v>
      </c>
      <c r="B49" s="34" t="s">
        <v>142</v>
      </c>
      <c r="C49" s="35">
        <v>260627</v>
      </c>
      <c r="D49" s="35">
        <v>308942121</v>
      </c>
      <c r="E49" s="35">
        <v>-156257486.13999999</v>
      </c>
      <c r="F49" s="35">
        <v>2495638744.9699998</v>
      </c>
      <c r="G49" s="35">
        <v>2019579574.79</v>
      </c>
      <c r="H49" s="35">
        <v>371874649.10000002</v>
      </c>
      <c r="I49" s="35">
        <v>-2477774.7599999998</v>
      </c>
      <c r="J49" s="35">
        <v>0</v>
      </c>
      <c r="K49" s="35">
        <v>-54550739.82</v>
      </c>
    </row>
    <row r="50" spans="1:11" ht="15" customHeight="1">
      <c r="A50" s="34"/>
      <c r="B50" s="34" t="s">
        <v>143</v>
      </c>
      <c r="C50" s="35">
        <v>6576</v>
      </c>
      <c r="D50" s="35">
        <v>8930434</v>
      </c>
      <c r="E50" s="35">
        <v>23443054.57</v>
      </c>
      <c r="F50" s="35">
        <v>98314728.010000005</v>
      </c>
      <c r="G50" s="35">
        <v>91619956.280000001</v>
      </c>
      <c r="H50" s="35">
        <v>4758739.3</v>
      </c>
      <c r="I50" s="35">
        <v>0</v>
      </c>
      <c r="J50" s="35">
        <v>0</v>
      </c>
      <c r="K50" s="35">
        <v>25379087</v>
      </c>
    </row>
    <row r="51" spans="1:11" ht="15" customHeight="1">
      <c r="A51" s="34"/>
      <c r="B51" s="34" t="s">
        <v>144</v>
      </c>
      <c r="C51" s="35">
        <v>267203</v>
      </c>
      <c r="D51" s="35">
        <v>317872555</v>
      </c>
      <c r="E51" s="35">
        <v>-132814431.56999999</v>
      </c>
      <c r="F51" s="35">
        <v>2593953472.98</v>
      </c>
      <c r="G51" s="35">
        <v>2111199531.0699999</v>
      </c>
      <c r="H51" s="35">
        <v>376633388.39999998</v>
      </c>
      <c r="I51" s="35">
        <v>-2477774.7599999998</v>
      </c>
      <c r="J51" s="35">
        <v>0</v>
      </c>
      <c r="K51" s="35">
        <v>-29171652.82</v>
      </c>
    </row>
    <row r="52" spans="1:11" ht="15" customHeight="1">
      <c r="A52" s="34">
        <v>4</v>
      </c>
      <c r="B52" s="34" t="s">
        <v>145</v>
      </c>
      <c r="C52" s="35">
        <v>13492</v>
      </c>
      <c r="D52" s="35">
        <v>48527153</v>
      </c>
      <c r="E52" s="35">
        <v>979163001.65999997</v>
      </c>
      <c r="F52" s="35">
        <v>272799957.49000001</v>
      </c>
      <c r="G52" s="35">
        <v>78442734.340000004</v>
      </c>
      <c r="H52" s="35">
        <v>152753672.34</v>
      </c>
      <c r="I52" s="35">
        <v>200807.96</v>
      </c>
      <c r="J52" s="35">
        <v>0</v>
      </c>
      <c r="K52" s="35">
        <v>1020967360.4299999</v>
      </c>
    </row>
    <row r="53" spans="1:11" ht="15" customHeight="1">
      <c r="A53" s="34">
        <v>5</v>
      </c>
      <c r="B53" s="34" t="s">
        <v>5</v>
      </c>
      <c r="C53" s="35">
        <v>99192</v>
      </c>
      <c r="D53" s="35">
        <v>168792969</v>
      </c>
      <c r="E53" s="35">
        <v>-22582241.07</v>
      </c>
      <c r="F53" s="35">
        <v>234363026.77000001</v>
      </c>
      <c r="G53" s="35">
        <v>168649386.06</v>
      </c>
      <c r="H53" s="35">
        <v>27290415.550000001</v>
      </c>
      <c r="I53" s="35">
        <v>-796393.56</v>
      </c>
      <c r="J53" s="35">
        <v>0</v>
      </c>
      <c r="K53" s="35">
        <v>15044590.529999999</v>
      </c>
    </row>
    <row r="54" spans="1:11" ht="15" customHeight="1">
      <c r="A54" s="34">
        <v>6</v>
      </c>
      <c r="B54" s="34" t="s">
        <v>146</v>
      </c>
      <c r="C54" s="35">
        <v>6456</v>
      </c>
      <c r="D54" s="35">
        <v>15223858</v>
      </c>
      <c r="E54" s="35">
        <v>113139182.73999999</v>
      </c>
      <c r="F54" s="35">
        <v>98874088.390000001</v>
      </c>
      <c r="G54" s="35">
        <v>71694102.209999993</v>
      </c>
      <c r="H54" s="35">
        <v>16941795.59</v>
      </c>
      <c r="I54" s="35">
        <v>-146960.23000000001</v>
      </c>
      <c r="J54" s="35">
        <v>0</v>
      </c>
      <c r="K54" s="35">
        <v>123230413.09999999</v>
      </c>
    </row>
    <row r="55" spans="1:11" ht="15" customHeight="1">
      <c r="A55" s="34">
        <v>7</v>
      </c>
      <c r="B55" s="34" t="s">
        <v>147</v>
      </c>
      <c r="C55" s="35">
        <v>135936</v>
      </c>
      <c r="D55" s="35">
        <v>254352</v>
      </c>
      <c r="E55" s="35">
        <v>282473331.19</v>
      </c>
      <c r="F55" s="35">
        <v>4556484.72</v>
      </c>
      <c r="G55" s="35">
        <v>9439530.5</v>
      </c>
      <c r="H55" s="35">
        <v>2520494.13</v>
      </c>
      <c r="I55" s="35">
        <v>19784981.780000001</v>
      </c>
      <c r="J55" s="35">
        <v>0</v>
      </c>
      <c r="K55" s="35">
        <v>294854773.06</v>
      </c>
    </row>
    <row r="56" spans="1:11" ht="15" customHeight="1">
      <c r="A56" s="34">
        <v>8</v>
      </c>
      <c r="B56" s="34" t="s">
        <v>148</v>
      </c>
      <c r="C56" s="35">
        <v>4324</v>
      </c>
      <c r="D56" s="35">
        <v>0</v>
      </c>
      <c r="E56" s="35">
        <v>1332331.42</v>
      </c>
      <c r="F56" s="35">
        <v>1389112.42</v>
      </c>
      <c r="G56" s="35">
        <v>567985.43999999994</v>
      </c>
      <c r="H56" s="35">
        <v>568145.06000000006</v>
      </c>
      <c r="I56" s="35">
        <v>-10650.08</v>
      </c>
      <c r="J56" s="35">
        <v>0</v>
      </c>
      <c r="K56" s="35">
        <v>1574663.26</v>
      </c>
    </row>
    <row r="57" spans="1:11" ht="15" customHeight="1">
      <c r="A57" s="34">
        <v>9</v>
      </c>
      <c r="B57" s="34" t="s">
        <v>149</v>
      </c>
      <c r="C57" s="35">
        <v>2216</v>
      </c>
      <c r="D57" s="35">
        <v>740096</v>
      </c>
      <c r="E57" s="35">
        <v>53130210.409999996</v>
      </c>
      <c r="F57" s="35">
        <v>4073417.13</v>
      </c>
      <c r="G57" s="35">
        <v>3613576.49</v>
      </c>
      <c r="H57" s="35">
        <v>-29470.62</v>
      </c>
      <c r="I57" s="35">
        <v>0</v>
      </c>
      <c r="J57" s="35">
        <v>0</v>
      </c>
      <c r="K57" s="35">
        <v>53619521.670000002</v>
      </c>
    </row>
    <row r="58" spans="1:11" ht="15" customHeight="1">
      <c r="A58" s="34">
        <v>10</v>
      </c>
      <c r="B58" s="34" t="s">
        <v>179</v>
      </c>
      <c r="C58" s="35">
        <v>0</v>
      </c>
      <c r="D58" s="35">
        <v>0</v>
      </c>
      <c r="E58" s="35">
        <v>-747024.08</v>
      </c>
      <c r="F58" s="35">
        <v>0</v>
      </c>
      <c r="G58" s="35">
        <v>806193.65</v>
      </c>
      <c r="H58" s="35">
        <v>-910101.61</v>
      </c>
      <c r="I58" s="35">
        <v>0</v>
      </c>
      <c r="J58" s="35">
        <v>0</v>
      </c>
      <c r="K58" s="35">
        <v>-643116.12</v>
      </c>
    </row>
    <row r="59" spans="1:11" ht="15" customHeight="1">
      <c r="A59" s="34">
        <v>11</v>
      </c>
      <c r="B59" s="34" t="s">
        <v>180</v>
      </c>
      <c r="C59" s="35">
        <v>2784347</v>
      </c>
      <c r="D59" s="35">
        <v>1101621900</v>
      </c>
      <c r="E59" s="35">
        <v>1387782109.27</v>
      </c>
      <c r="F59" s="35">
        <v>6750776772.1099997</v>
      </c>
      <c r="G59" s="35">
        <v>5276480594.8699999</v>
      </c>
      <c r="H59" s="35">
        <v>1056371631.98</v>
      </c>
      <c r="I59" s="35">
        <v>-19774331.699999999</v>
      </c>
      <c r="J59" s="35">
        <v>0</v>
      </c>
      <c r="K59" s="35">
        <v>1785932322.8299999</v>
      </c>
    </row>
    <row r="60" spans="1:11" ht="15" customHeight="1">
      <c r="A60" s="34">
        <v>12</v>
      </c>
      <c r="B60" s="34" t="s">
        <v>164</v>
      </c>
      <c r="C60" s="35">
        <v>140260</v>
      </c>
      <c r="D60" s="35">
        <v>254352</v>
      </c>
      <c r="E60" s="35">
        <v>283805662.61000001</v>
      </c>
      <c r="F60" s="35">
        <v>5945597.1399999997</v>
      </c>
      <c r="G60" s="35">
        <v>10007515.939999999</v>
      </c>
      <c r="H60" s="35">
        <v>3088639.19</v>
      </c>
      <c r="I60" s="35">
        <v>19774331.699999999</v>
      </c>
      <c r="J60" s="35">
        <v>0</v>
      </c>
      <c r="K60" s="35">
        <v>296429436.31999999</v>
      </c>
    </row>
    <row r="61" spans="1:11" ht="15" customHeight="1">
      <c r="A61" s="34">
        <v>13</v>
      </c>
      <c r="B61" s="34" t="s">
        <v>152</v>
      </c>
      <c r="C61" s="35">
        <v>8792</v>
      </c>
      <c r="D61" s="35">
        <v>9670530</v>
      </c>
      <c r="E61" s="35">
        <v>76573264.980000004</v>
      </c>
      <c r="F61" s="35">
        <v>102388145.14</v>
      </c>
      <c r="G61" s="35">
        <v>95233532.769999996</v>
      </c>
      <c r="H61" s="35">
        <v>4729268.68</v>
      </c>
      <c r="I61" s="35">
        <v>0</v>
      </c>
      <c r="J61" s="35">
        <v>0</v>
      </c>
      <c r="K61" s="35">
        <v>78998608.670000002</v>
      </c>
    </row>
    <row r="62" spans="1:11" ht="15" customHeight="1">
      <c r="A62" s="34">
        <v>14</v>
      </c>
      <c r="B62" s="34" t="s">
        <v>153</v>
      </c>
      <c r="C62" s="35">
        <v>2933399</v>
      </c>
      <c r="D62" s="35">
        <v>1111546782</v>
      </c>
      <c r="E62" s="35">
        <v>1748161036.8599999</v>
      </c>
      <c r="F62" s="35">
        <v>6859110514.3900003</v>
      </c>
      <c r="G62" s="35">
        <v>5381721643.5799999</v>
      </c>
      <c r="H62" s="35">
        <v>1064189539.85</v>
      </c>
      <c r="I62" s="35">
        <v>0</v>
      </c>
      <c r="J62" s="35">
        <v>0</v>
      </c>
      <c r="K62" s="35">
        <v>2161360367.8200002</v>
      </c>
    </row>
    <row r="63" spans="1:11" ht="15" customHeight="1">
      <c r="A63" s="33" t="s">
        <v>140</v>
      </c>
      <c r="B63" s="33"/>
      <c r="C63" s="33"/>
      <c r="D63" s="33"/>
      <c r="E63" s="33"/>
      <c r="F63" s="33"/>
      <c r="G63" s="33"/>
      <c r="H63" s="33"/>
      <c r="I63" s="33"/>
      <c r="J63" s="33"/>
      <c r="K63" s="33"/>
    </row>
    <row r="64" spans="1:11" ht="15" customHeight="1">
      <c r="A64" s="33" t="s">
        <v>181</v>
      </c>
      <c r="B64" s="33"/>
      <c r="C64" s="33"/>
      <c r="D64" s="33"/>
      <c r="E64" s="33"/>
      <c r="F64" s="33"/>
      <c r="G64" s="33"/>
      <c r="H64" s="33"/>
      <c r="I64" s="33"/>
      <c r="J64" s="33"/>
      <c r="K64" s="33"/>
    </row>
    <row r="65" spans="1:11" ht="15" customHeight="1">
      <c r="A65" s="33" t="s">
        <v>140</v>
      </c>
      <c r="B65" s="33"/>
      <c r="C65" s="33"/>
      <c r="D65" s="33"/>
      <c r="E65" s="33"/>
      <c r="F65" s="33"/>
      <c r="G65" s="33"/>
      <c r="H65" s="33"/>
      <c r="I65" s="33"/>
      <c r="J65" s="33"/>
      <c r="K65" s="33"/>
    </row>
    <row r="66" spans="1:11" ht="15" customHeight="1">
      <c r="A66" s="31" t="s">
        <v>129</v>
      </c>
      <c r="B66" s="31" t="s">
        <v>130</v>
      </c>
      <c r="C66" s="32" t="s">
        <v>179</v>
      </c>
      <c r="D66" s="32" t="s">
        <v>182</v>
      </c>
      <c r="E66" s="32" t="s">
        <v>183</v>
      </c>
      <c r="F66" s="32" t="s">
        <v>184</v>
      </c>
      <c r="G66" s="32" t="s">
        <v>185</v>
      </c>
      <c r="H66" s="32" t="s">
        <v>186</v>
      </c>
      <c r="I66" s="32" t="s">
        <v>187</v>
      </c>
      <c r="J66" s="32" t="s">
        <v>188</v>
      </c>
      <c r="K66" s="35"/>
    </row>
    <row r="67" spans="1:11" ht="15" customHeight="1">
      <c r="A67" s="34"/>
      <c r="B67" s="34"/>
      <c r="C67" s="32" t="s">
        <v>189</v>
      </c>
      <c r="D67" s="32" t="s">
        <v>190</v>
      </c>
      <c r="E67" s="32" t="s">
        <v>191</v>
      </c>
      <c r="F67" s="32" t="s">
        <v>192</v>
      </c>
      <c r="G67" s="32" t="s">
        <v>193</v>
      </c>
      <c r="H67" s="32" t="s">
        <v>163</v>
      </c>
      <c r="I67" s="32" t="s">
        <v>194</v>
      </c>
      <c r="J67" s="32" t="s">
        <v>195</v>
      </c>
      <c r="K67" s="32" t="s">
        <v>144</v>
      </c>
    </row>
    <row r="68" spans="1:11" ht="15" customHeight="1">
      <c r="A68" s="33" t="s">
        <v>140</v>
      </c>
      <c r="B68" s="33"/>
      <c r="C68" s="33"/>
      <c r="D68" s="33"/>
      <c r="E68" s="33"/>
      <c r="F68" s="33"/>
      <c r="G68" s="33"/>
      <c r="H68" s="33"/>
      <c r="I68" s="33"/>
      <c r="J68" s="33"/>
      <c r="K68" s="33"/>
    </row>
    <row r="69" spans="1:11" ht="15" customHeight="1">
      <c r="A69" s="34">
        <v>1</v>
      </c>
      <c r="B69" s="34" t="s">
        <v>2</v>
      </c>
      <c r="C69" s="35">
        <v>676896.21</v>
      </c>
      <c r="D69" s="35">
        <v>396889374.73000002</v>
      </c>
      <c r="E69" s="35">
        <v>52620828.579999998</v>
      </c>
      <c r="F69" s="35">
        <v>-11156.78</v>
      </c>
      <c r="G69" s="35">
        <v>22613993.010000002</v>
      </c>
      <c r="H69" s="35">
        <v>0</v>
      </c>
      <c r="I69" s="35">
        <v>0</v>
      </c>
      <c r="J69" s="35">
        <v>0</v>
      </c>
      <c r="K69" s="35">
        <v>472789935.75</v>
      </c>
    </row>
    <row r="70" spans="1:11" ht="15" customHeight="1">
      <c r="A70" s="34">
        <v>2</v>
      </c>
      <c r="B70" s="34" t="s">
        <v>141</v>
      </c>
      <c r="C70" s="35">
        <v>510</v>
      </c>
      <c r="D70" s="35">
        <v>3998473.44</v>
      </c>
      <c r="E70" s="35">
        <v>2756635.8</v>
      </c>
      <c r="F70" s="35">
        <v>0</v>
      </c>
      <c r="G70" s="35">
        <v>1144315.07</v>
      </c>
      <c r="H70" s="35">
        <v>7701400.0800000001</v>
      </c>
      <c r="I70" s="35">
        <v>0</v>
      </c>
      <c r="J70" s="35">
        <v>29930.87</v>
      </c>
      <c r="K70" s="35">
        <v>15631265.26</v>
      </c>
    </row>
    <row r="71" spans="1:11" ht="15" customHeight="1">
      <c r="A71" s="34">
        <v>3</v>
      </c>
      <c r="B71" s="34" t="s">
        <v>142</v>
      </c>
      <c r="C71" s="35">
        <v>213935.94</v>
      </c>
      <c r="D71" s="35">
        <v>169089710.22999999</v>
      </c>
      <c r="E71" s="35">
        <v>70601060.400000006</v>
      </c>
      <c r="F71" s="35">
        <v>120635842.39</v>
      </c>
      <c r="G71" s="35">
        <v>11334100.140000001</v>
      </c>
      <c r="H71" s="35">
        <v>0</v>
      </c>
      <c r="I71" s="35">
        <v>0</v>
      </c>
      <c r="J71" s="35">
        <v>0</v>
      </c>
      <c r="K71" s="35">
        <v>371874649.10000002</v>
      </c>
    </row>
    <row r="72" spans="1:11" ht="15" customHeight="1">
      <c r="A72" s="34"/>
      <c r="B72" s="34" t="s">
        <v>143</v>
      </c>
      <c r="C72" s="35"/>
      <c r="D72" s="35">
        <v>1889298.78</v>
      </c>
      <c r="E72" s="35">
        <v>2864053.84</v>
      </c>
      <c r="F72" s="35">
        <v>5386.68</v>
      </c>
      <c r="G72" s="35"/>
      <c r="H72" s="35"/>
      <c r="I72" s="35"/>
      <c r="J72" s="35"/>
      <c r="K72" s="35">
        <v>4758739.3</v>
      </c>
    </row>
    <row r="73" spans="1:11" ht="15" customHeight="1">
      <c r="A73" s="34"/>
      <c r="B73" s="34" t="s">
        <v>144</v>
      </c>
      <c r="C73" s="35">
        <v>213935.94</v>
      </c>
      <c r="D73" s="35">
        <v>170979009.00999999</v>
      </c>
      <c r="E73" s="35">
        <v>73465114.239999995</v>
      </c>
      <c r="F73" s="35">
        <v>120641229.06999999</v>
      </c>
      <c r="G73" s="35">
        <v>11334100.140000001</v>
      </c>
      <c r="H73" s="35">
        <v>0</v>
      </c>
      <c r="I73" s="35">
        <v>0</v>
      </c>
      <c r="J73" s="35">
        <v>0</v>
      </c>
      <c r="K73" s="35">
        <v>376633388.39999998</v>
      </c>
    </row>
    <row r="74" spans="1:11" ht="15" customHeight="1">
      <c r="A74" s="34">
        <v>4</v>
      </c>
      <c r="B74" s="34" t="s">
        <v>145</v>
      </c>
      <c r="C74" s="35">
        <v>0</v>
      </c>
      <c r="D74" s="35">
        <v>11034658.880000001</v>
      </c>
      <c r="E74" s="35">
        <v>4158318.73</v>
      </c>
      <c r="F74" s="35">
        <v>4259002.55</v>
      </c>
      <c r="G74" s="35">
        <v>2660400.7999999998</v>
      </c>
      <c r="H74" s="35">
        <v>130641291.38</v>
      </c>
      <c r="I74" s="35">
        <v>0</v>
      </c>
      <c r="J74" s="35">
        <v>0</v>
      </c>
      <c r="K74" s="35">
        <v>152753672.34</v>
      </c>
    </row>
    <row r="75" spans="1:11" ht="15" customHeight="1">
      <c r="A75" s="34">
        <v>5</v>
      </c>
      <c r="B75" s="34" t="s">
        <v>5</v>
      </c>
      <c r="C75" s="35">
        <v>3944</v>
      </c>
      <c r="D75" s="35">
        <v>7038904.7400000002</v>
      </c>
      <c r="E75" s="35">
        <v>16782524.280000001</v>
      </c>
      <c r="F75" s="35">
        <v>0</v>
      </c>
      <c r="G75" s="35">
        <v>3465042.53</v>
      </c>
      <c r="H75" s="35">
        <v>0</v>
      </c>
      <c r="I75" s="35">
        <v>0</v>
      </c>
      <c r="J75" s="35">
        <v>0</v>
      </c>
      <c r="K75" s="35">
        <v>27290415.550000001</v>
      </c>
    </row>
    <row r="76" spans="1:11" ht="15" customHeight="1">
      <c r="A76" s="34">
        <v>6</v>
      </c>
      <c r="B76" s="34" t="s">
        <v>146</v>
      </c>
      <c r="C76" s="35">
        <v>14815.46</v>
      </c>
      <c r="D76" s="35">
        <v>14875892.949999999</v>
      </c>
      <c r="E76" s="35">
        <v>1945850.05</v>
      </c>
      <c r="F76" s="35">
        <v>-36525.760000000002</v>
      </c>
      <c r="G76" s="35">
        <v>141762.89000000001</v>
      </c>
      <c r="H76" s="35">
        <v>0</v>
      </c>
      <c r="I76" s="35">
        <v>0</v>
      </c>
      <c r="J76" s="35">
        <v>0</v>
      </c>
      <c r="K76" s="35">
        <v>16941795.59</v>
      </c>
    </row>
    <row r="77" spans="1:11" ht="15" customHeight="1">
      <c r="A77" s="34">
        <v>7</v>
      </c>
      <c r="B77" s="34" t="s">
        <v>147</v>
      </c>
      <c r="C77" s="35">
        <v>0</v>
      </c>
      <c r="D77" s="35">
        <v>1409218.22</v>
      </c>
      <c r="E77" s="35">
        <v>1097712.6200000001</v>
      </c>
      <c r="F77" s="35">
        <v>1805.77</v>
      </c>
      <c r="G77" s="35">
        <v>0</v>
      </c>
      <c r="H77" s="35">
        <v>658.4</v>
      </c>
      <c r="I77" s="35">
        <v>0</v>
      </c>
      <c r="J77" s="35">
        <v>11099.12</v>
      </c>
      <c r="K77" s="35">
        <v>2520494.13</v>
      </c>
    </row>
    <row r="78" spans="1:11" ht="15" customHeight="1">
      <c r="A78" s="34">
        <v>8</v>
      </c>
      <c r="B78" s="34" t="s">
        <v>148</v>
      </c>
      <c r="C78" s="35">
        <v>0</v>
      </c>
      <c r="D78" s="35">
        <v>1704.02</v>
      </c>
      <c r="E78" s="35">
        <v>549022.04</v>
      </c>
      <c r="F78" s="35">
        <v>17419</v>
      </c>
      <c r="G78" s="35">
        <v>0</v>
      </c>
      <c r="H78" s="35">
        <v>0</v>
      </c>
      <c r="I78" s="35">
        <v>0</v>
      </c>
      <c r="J78" s="35">
        <v>0</v>
      </c>
      <c r="K78" s="35">
        <v>568145.06000000006</v>
      </c>
    </row>
    <row r="79" spans="1:11" ht="15" customHeight="1">
      <c r="A79" s="34">
        <v>9</v>
      </c>
      <c r="B79" s="34" t="s">
        <v>149</v>
      </c>
      <c r="C79" s="35"/>
      <c r="D79" s="35">
        <v>4579.8</v>
      </c>
      <c r="E79" s="35">
        <v>-34050.42</v>
      </c>
      <c r="F79" s="35">
        <v>0</v>
      </c>
      <c r="G79" s="35"/>
      <c r="H79" s="35"/>
      <c r="I79" s="35"/>
      <c r="J79" s="35"/>
      <c r="K79" s="35">
        <v>-29470.62</v>
      </c>
    </row>
    <row r="80" spans="1:11" ht="15" customHeight="1">
      <c r="A80" s="34">
        <v>10</v>
      </c>
      <c r="B80" s="34" t="s">
        <v>179</v>
      </c>
      <c r="C80" s="35">
        <v>-910101.61</v>
      </c>
      <c r="D80" s="35">
        <v>0</v>
      </c>
      <c r="E80" s="35">
        <v>0</v>
      </c>
      <c r="F80" s="35">
        <v>0</v>
      </c>
      <c r="G80" s="35">
        <v>0</v>
      </c>
      <c r="H80" s="35">
        <v>0</v>
      </c>
      <c r="I80" s="35">
        <v>0</v>
      </c>
      <c r="J80" s="35">
        <v>0</v>
      </c>
      <c r="K80" s="35">
        <v>-910101.61</v>
      </c>
    </row>
    <row r="81" spans="1:13" ht="15" customHeight="1">
      <c r="A81" s="34">
        <v>11</v>
      </c>
      <c r="B81" s="34" t="s">
        <v>150</v>
      </c>
      <c r="C81" s="35">
        <v>0</v>
      </c>
      <c r="D81" s="35">
        <v>602927014.97000003</v>
      </c>
      <c r="E81" s="35">
        <v>148865217.84</v>
      </c>
      <c r="F81" s="35">
        <v>124847162.40000001</v>
      </c>
      <c r="G81" s="35">
        <v>41359614.439999998</v>
      </c>
      <c r="H81" s="35">
        <v>138342691.46000001</v>
      </c>
      <c r="I81" s="35">
        <v>0</v>
      </c>
      <c r="J81" s="35">
        <v>29930.87</v>
      </c>
      <c r="K81" s="35">
        <v>1056371631.98</v>
      </c>
    </row>
    <row r="82" spans="1:13" ht="15" customHeight="1">
      <c r="A82" s="34">
        <v>12</v>
      </c>
      <c r="B82" s="34" t="s">
        <v>164</v>
      </c>
      <c r="C82" s="35">
        <v>0</v>
      </c>
      <c r="D82" s="35">
        <v>1410922.24</v>
      </c>
      <c r="E82" s="35">
        <v>1646734.66</v>
      </c>
      <c r="F82" s="35">
        <v>19224.77</v>
      </c>
      <c r="G82" s="35">
        <v>0</v>
      </c>
      <c r="H82" s="35">
        <v>658.4</v>
      </c>
      <c r="I82" s="35">
        <v>0</v>
      </c>
      <c r="J82" s="35">
        <v>11099.12</v>
      </c>
      <c r="K82" s="35">
        <v>3088639.19</v>
      </c>
    </row>
    <row r="83" spans="1:13" ht="15" customHeight="1">
      <c r="A83" s="34">
        <v>13</v>
      </c>
      <c r="B83" s="34" t="s">
        <v>152</v>
      </c>
      <c r="C83" s="35">
        <v>0</v>
      </c>
      <c r="D83" s="35">
        <v>1893878.58</v>
      </c>
      <c r="E83" s="35">
        <v>2830003.42</v>
      </c>
      <c r="F83" s="35">
        <v>5386.68</v>
      </c>
      <c r="G83" s="35">
        <v>0</v>
      </c>
      <c r="H83" s="35">
        <v>0</v>
      </c>
      <c r="I83" s="35">
        <v>0</v>
      </c>
      <c r="J83" s="35">
        <v>0</v>
      </c>
      <c r="K83" s="35">
        <v>4729268.68</v>
      </c>
    </row>
    <row r="84" spans="1:13" ht="15" customHeight="1">
      <c r="A84" s="34">
        <v>14</v>
      </c>
      <c r="B84" s="34" t="s">
        <v>153</v>
      </c>
      <c r="C84" s="35">
        <v>0</v>
      </c>
      <c r="D84" s="35">
        <v>606231815.78999996</v>
      </c>
      <c r="E84" s="35">
        <v>153341955.91999999</v>
      </c>
      <c r="F84" s="35">
        <v>124871773.84999999</v>
      </c>
      <c r="G84" s="35">
        <v>41359614.439999998</v>
      </c>
      <c r="H84" s="35">
        <v>138343349.86000001</v>
      </c>
      <c r="I84" s="35">
        <v>0</v>
      </c>
      <c r="J84" s="35">
        <v>41029.99</v>
      </c>
      <c r="K84" s="35">
        <v>1064189539.85</v>
      </c>
    </row>
    <row r="85" spans="1:13" ht="15" customHeight="1">
      <c r="A85" s="33" t="s">
        <v>140</v>
      </c>
      <c r="B85" s="33"/>
      <c r="C85" s="33"/>
      <c r="D85" s="33"/>
      <c r="E85" s="33"/>
      <c r="F85" s="33"/>
      <c r="G85" s="33"/>
      <c r="H85" s="33"/>
      <c r="I85" s="33"/>
      <c r="J85" s="33"/>
      <c r="K85" s="33"/>
    </row>
    <row r="93" spans="1:13" ht="15" customHeight="1">
      <c r="B93" s="38" t="s">
        <v>196</v>
      </c>
      <c r="C93" s="38"/>
      <c r="D93" s="38"/>
      <c r="E93" s="38"/>
      <c r="F93" s="38"/>
    </row>
    <row r="94" spans="1:13" ht="15" customHeight="1">
      <c r="B94" s="39"/>
      <c r="C94" s="39"/>
      <c r="D94" s="39"/>
      <c r="E94" s="39"/>
      <c r="F94" s="39"/>
    </row>
    <row r="95" spans="1:13" ht="15" customHeight="1">
      <c r="B95" s="38" t="s">
        <v>197</v>
      </c>
      <c r="C95" s="38"/>
      <c r="D95" s="38"/>
      <c r="E95" s="38"/>
      <c r="F95" s="38"/>
      <c r="G95" s="38"/>
      <c r="H95" s="38"/>
      <c r="I95" s="38"/>
      <c r="J95" s="38"/>
      <c r="K95" s="38"/>
      <c r="L95" s="38"/>
      <c r="M95" s="38"/>
    </row>
    <row r="96" spans="1:13" ht="15" customHeight="1">
      <c r="B96" s="40" t="s">
        <v>198</v>
      </c>
      <c r="C96" s="41" t="s">
        <v>199</v>
      </c>
      <c r="D96" s="39" t="s">
        <v>200</v>
      </c>
      <c r="E96" s="39" t="s">
        <v>201</v>
      </c>
      <c r="F96" s="39" t="s">
        <v>202</v>
      </c>
      <c r="G96" s="39" t="s">
        <v>203</v>
      </c>
      <c r="H96" s="39" t="s">
        <v>204</v>
      </c>
      <c r="I96" s="39" t="s">
        <v>205</v>
      </c>
      <c r="J96" s="39" t="s">
        <v>206</v>
      </c>
      <c r="K96" s="39" t="s">
        <v>207</v>
      </c>
      <c r="L96" s="39" t="s">
        <v>208</v>
      </c>
      <c r="M96" s="39"/>
    </row>
    <row r="97" spans="2:13" ht="15" customHeight="1">
      <c r="B97" s="38" t="s">
        <v>197</v>
      </c>
      <c r="C97" s="38"/>
      <c r="D97" s="38"/>
      <c r="E97" s="38"/>
      <c r="F97" s="38"/>
      <c r="G97" s="38"/>
      <c r="H97" s="38"/>
      <c r="I97" s="38"/>
      <c r="J97" s="38"/>
      <c r="K97" s="38"/>
      <c r="L97" s="38"/>
      <c r="M97" s="38"/>
    </row>
    <row r="98" spans="2:13" ht="15" customHeight="1">
      <c r="B98" s="40">
        <v>1</v>
      </c>
      <c r="C98" s="41" t="s">
        <v>209</v>
      </c>
      <c r="D98" s="39">
        <v>692603720.38999999</v>
      </c>
      <c r="E98" s="39">
        <v>4495794941.0500002</v>
      </c>
      <c r="F98" s="39">
        <v>228089997.05000001</v>
      </c>
      <c r="G98" s="39">
        <v>1203211432.4200001</v>
      </c>
      <c r="H98" s="39">
        <v>0</v>
      </c>
      <c r="I98" s="39">
        <v>6730906.5899999999</v>
      </c>
      <c r="J98" s="39">
        <v>53726118.039999999</v>
      </c>
      <c r="K98" s="39">
        <v>-63618893.590000004</v>
      </c>
      <c r="L98" s="39">
        <v>-11142206.23</v>
      </c>
      <c r="M98" s="39"/>
    </row>
    <row r="99" spans="2:13" ht="15" customHeight="1">
      <c r="B99" s="40">
        <v>2</v>
      </c>
      <c r="C99" s="41" t="s">
        <v>210</v>
      </c>
      <c r="D99" s="39">
        <v>46307680</v>
      </c>
      <c r="E99" s="39">
        <v>454218764.30000001</v>
      </c>
      <c r="F99" s="39">
        <v>0</v>
      </c>
      <c r="G99" s="39">
        <v>109229986.54000001</v>
      </c>
      <c r="H99" s="39">
        <v>0</v>
      </c>
      <c r="I99" s="39">
        <v>0</v>
      </c>
      <c r="J99" s="39">
        <v>0</v>
      </c>
      <c r="K99" s="39">
        <v>-7437025.4000000004</v>
      </c>
      <c r="L99" s="39">
        <v>-4542187.6399999997</v>
      </c>
      <c r="M99" s="39"/>
    </row>
    <row r="100" spans="2:13" ht="15" customHeight="1">
      <c r="B100" s="40">
        <v>3</v>
      </c>
      <c r="C100" s="41" t="s">
        <v>211</v>
      </c>
      <c r="D100" s="39">
        <v>469560</v>
      </c>
      <c r="E100" s="39">
        <v>490835.9</v>
      </c>
      <c r="F100" s="39">
        <v>0</v>
      </c>
      <c r="G100" s="39">
        <v>0</v>
      </c>
      <c r="H100" s="39">
        <v>0</v>
      </c>
      <c r="I100" s="39">
        <v>37123.879999999997</v>
      </c>
      <c r="J100" s="39">
        <v>0</v>
      </c>
      <c r="K100" s="39">
        <v>-2045.39</v>
      </c>
      <c r="L100" s="39">
        <v>0</v>
      </c>
      <c r="M100" s="39"/>
    </row>
    <row r="101" spans="2:13" ht="15" customHeight="1">
      <c r="B101" s="40">
        <v>4</v>
      </c>
      <c r="C101" s="41" t="s">
        <v>212</v>
      </c>
      <c r="D101" s="39">
        <v>0</v>
      </c>
      <c r="E101" s="39">
        <v>0</v>
      </c>
      <c r="F101" s="39">
        <v>0</v>
      </c>
      <c r="G101" s="39">
        <v>0</v>
      </c>
      <c r="H101" s="39">
        <v>0</v>
      </c>
      <c r="I101" s="39">
        <v>0</v>
      </c>
      <c r="J101" s="39">
        <v>0</v>
      </c>
      <c r="K101" s="39">
        <v>0</v>
      </c>
      <c r="L101" s="39">
        <v>0</v>
      </c>
      <c r="M101" s="39"/>
    </row>
    <row r="102" spans="2:13" ht="15" customHeight="1">
      <c r="B102" s="40">
        <v>5</v>
      </c>
      <c r="C102" s="41" t="s">
        <v>213</v>
      </c>
      <c r="D102" s="39">
        <v>0</v>
      </c>
      <c r="E102" s="39">
        <v>0</v>
      </c>
      <c r="F102" s="39">
        <v>0</v>
      </c>
      <c r="G102" s="39">
        <v>0</v>
      </c>
      <c r="H102" s="39">
        <v>0</v>
      </c>
      <c r="I102" s="39">
        <v>0</v>
      </c>
      <c r="J102" s="39">
        <v>0</v>
      </c>
      <c r="K102" s="39">
        <v>0</v>
      </c>
      <c r="L102" s="39">
        <v>0</v>
      </c>
      <c r="M102" s="39"/>
    </row>
    <row r="103" spans="2:13" ht="15" customHeight="1">
      <c r="B103" s="40">
        <v>6</v>
      </c>
      <c r="C103" s="41" t="s">
        <v>214</v>
      </c>
      <c r="D103" s="39">
        <v>0</v>
      </c>
      <c r="E103" s="39">
        <v>0</v>
      </c>
      <c r="F103" s="39">
        <v>0</v>
      </c>
      <c r="G103" s="39">
        <v>0</v>
      </c>
      <c r="H103" s="39">
        <v>0</v>
      </c>
      <c r="I103" s="39">
        <v>0</v>
      </c>
      <c r="J103" s="39">
        <v>0</v>
      </c>
      <c r="K103" s="39">
        <v>0</v>
      </c>
      <c r="L103" s="39">
        <v>0</v>
      </c>
      <c r="M103" s="39"/>
    </row>
    <row r="104" spans="2:13" ht="15" customHeight="1">
      <c r="B104" s="40">
        <v>7</v>
      </c>
      <c r="C104" s="41" t="s">
        <v>215</v>
      </c>
      <c r="D104" s="39">
        <v>0</v>
      </c>
      <c r="E104" s="39">
        <v>0</v>
      </c>
      <c r="F104" s="39">
        <v>0</v>
      </c>
      <c r="G104" s="39">
        <v>0</v>
      </c>
      <c r="H104" s="39">
        <v>0</v>
      </c>
      <c r="I104" s="39">
        <v>0</v>
      </c>
      <c r="J104" s="39">
        <v>0</v>
      </c>
      <c r="K104" s="39">
        <v>0</v>
      </c>
      <c r="L104" s="39">
        <v>0</v>
      </c>
      <c r="M104" s="39"/>
    </row>
    <row r="105" spans="2:13" ht="15" customHeight="1">
      <c r="B105" s="40">
        <v>8</v>
      </c>
      <c r="C105" s="41" t="s">
        <v>216</v>
      </c>
      <c r="D105" s="39">
        <v>0</v>
      </c>
      <c r="E105" s="39">
        <v>0</v>
      </c>
      <c r="F105" s="39">
        <v>0</v>
      </c>
      <c r="G105" s="39">
        <v>0</v>
      </c>
      <c r="H105" s="39">
        <v>0</v>
      </c>
      <c r="I105" s="39">
        <v>0</v>
      </c>
      <c r="J105" s="39">
        <v>186372.62</v>
      </c>
      <c r="K105" s="39">
        <v>0</v>
      </c>
      <c r="L105" s="39">
        <v>0</v>
      </c>
      <c r="M105" s="39"/>
    </row>
    <row r="106" spans="2:13" ht="15" customHeight="1">
      <c r="B106" s="40">
        <v>9</v>
      </c>
      <c r="C106" s="41" t="s">
        <v>148</v>
      </c>
      <c r="D106" s="39">
        <v>9967895.7400000002</v>
      </c>
      <c r="E106" s="39">
        <v>0</v>
      </c>
      <c r="F106" s="39">
        <v>0</v>
      </c>
      <c r="G106" s="39">
        <v>0</v>
      </c>
      <c r="H106" s="39">
        <v>0</v>
      </c>
      <c r="I106" s="39">
        <v>0</v>
      </c>
      <c r="J106" s="39">
        <v>200288</v>
      </c>
      <c r="K106" s="39">
        <v>0</v>
      </c>
      <c r="L106" s="39">
        <v>0</v>
      </c>
      <c r="M106" s="39"/>
    </row>
    <row r="107" spans="2:13" ht="15" customHeight="1">
      <c r="B107" s="40">
        <v>10</v>
      </c>
      <c r="C107" s="41" t="s">
        <v>217</v>
      </c>
      <c r="D107" s="39">
        <v>1710700</v>
      </c>
      <c r="E107" s="39">
        <v>12852778</v>
      </c>
      <c r="F107" s="39">
        <v>380456.65</v>
      </c>
      <c r="G107" s="39">
        <v>3556151.92</v>
      </c>
      <c r="H107" s="39">
        <v>0</v>
      </c>
      <c r="I107" s="39">
        <v>384611.36</v>
      </c>
      <c r="J107" s="39">
        <v>0</v>
      </c>
      <c r="K107" s="39">
        <v>-84009.48</v>
      </c>
      <c r="L107" s="39">
        <v>0</v>
      </c>
      <c r="M107" s="39"/>
    </row>
    <row r="108" spans="2:13" ht="15" customHeight="1">
      <c r="B108" s="38" t="s">
        <v>197</v>
      </c>
      <c r="C108" s="38"/>
      <c r="D108" s="38"/>
      <c r="E108" s="38"/>
      <c r="F108" s="38"/>
      <c r="G108" s="38"/>
      <c r="H108" s="38"/>
      <c r="I108" s="38"/>
      <c r="J108" s="38"/>
      <c r="K108" s="38"/>
      <c r="L108" s="38"/>
      <c r="M108" s="38"/>
    </row>
    <row r="109" spans="2:13" ht="15" customHeight="1">
      <c r="B109" s="42" t="s">
        <v>218</v>
      </c>
      <c r="C109" s="42"/>
      <c r="D109" s="39">
        <v>751059556.13</v>
      </c>
      <c r="E109" s="39">
        <v>4963357319.25</v>
      </c>
      <c r="F109" s="39">
        <v>228470453.69999999</v>
      </c>
      <c r="G109" s="39">
        <v>1315997570.8800001</v>
      </c>
      <c r="H109" s="39">
        <v>0</v>
      </c>
      <c r="I109" s="39">
        <v>7152641.8300000001</v>
      </c>
      <c r="J109" s="39">
        <v>54112778.659999996</v>
      </c>
      <c r="K109" s="39">
        <v>-71141973.859999999</v>
      </c>
      <c r="L109" s="39">
        <v>-15684393.869999999</v>
      </c>
      <c r="M109" s="39"/>
    </row>
    <row r="110" spans="2:13" ht="15" customHeight="1">
      <c r="B110" s="38" t="s">
        <v>197</v>
      </c>
      <c r="C110" s="38"/>
      <c r="D110" s="38"/>
      <c r="E110" s="38"/>
      <c r="F110" s="38"/>
      <c r="G110" s="38"/>
      <c r="H110" s="38"/>
      <c r="I110" s="38"/>
      <c r="J110" s="38"/>
      <c r="K110" s="38"/>
      <c r="L110" s="38"/>
      <c r="M110" s="38"/>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sheetPr>
    <tabColor rgb="FFFFFF00"/>
  </sheetPr>
  <dimension ref="A2:L35"/>
  <sheetViews>
    <sheetView view="pageBreakPreview" topLeftCell="A4" zoomScale="60" zoomScaleNormal="50" workbookViewId="0">
      <selection activeCell="E21" sqref="E21"/>
    </sheetView>
  </sheetViews>
  <sheetFormatPr defaultRowHeight="12.75"/>
  <cols>
    <col min="1" max="1" width="8" style="85" customWidth="1"/>
    <col min="2" max="2" width="62.7109375" style="85" customWidth="1"/>
    <col min="3" max="3" width="22" style="85" customWidth="1"/>
    <col min="4" max="4" width="23" style="85" customWidth="1"/>
    <col min="5" max="5" width="24.42578125" style="85" customWidth="1"/>
    <col min="6" max="6" width="20.42578125" style="85" customWidth="1"/>
    <col min="7" max="7" width="25" style="85" customWidth="1"/>
    <col min="8" max="9" width="21.85546875" style="85" bestFit="1" customWidth="1"/>
    <col min="10" max="10" width="9.140625" style="85"/>
    <col min="11" max="11" width="15.28515625" style="85" bestFit="1" customWidth="1"/>
    <col min="12" max="12" width="21.85546875" style="85" bestFit="1" customWidth="1"/>
    <col min="13" max="16384" width="9.140625" style="85"/>
  </cols>
  <sheetData>
    <row r="2" spans="1:9" ht="33">
      <c r="I2" s="86" t="s">
        <v>80</v>
      </c>
    </row>
    <row r="5" spans="1:9" ht="34.5">
      <c r="A5" s="397" t="s">
        <v>0</v>
      </c>
      <c r="B5" s="397"/>
      <c r="C5" s="397"/>
      <c r="D5" s="397"/>
      <c r="E5" s="397"/>
      <c r="F5" s="397"/>
      <c r="G5" s="397"/>
      <c r="H5" s="397"/>
      <c r="I5" s="397"/>
    </row>
    <row r="6" spans="1:9" ht="18" customHeight="1">
      <c r="A6" s="87"/>
      <c r="B6" s="87"/>
      <c r="C6" s="87"/>
      <c r="D6" s="87"/>
      <c r="E6" s="87"/>
    </row>
    <row r="8" spans="1:9" ht="30">
      <c r="A8" s="376" t="s">
        <v>79</v>
      </c>
      <c r="B8" s="376"/>
      <c r="C8" s="376"/>
      <c r="D8" s="376"/>
      <c r="E8" s="376"/>
      <c r="F8" s="376"/>
      <c r="G8" s="376"/>
      <c r="H8" s="376"/>
      <c r="I8" s="376"/>
    </row>
    <row r="10" spans="1:9" ht="30">
      <c r="A10" s="376" t="s">
        <v>78</v>
      </c>
      <c r="B10" s="376"/>
      <c r="C10" s="376"/>
      <c r="D10" s="376"/>
      <c r="E10" s="376"/>
      <c r="F10" s="376"/>
      <c r="G10" s="376"/>
      <c r="H10" s="376"/>
      <c r="I10" s="376"/>
    </row>
    <row r="11" spans="1:9" ht="13.5" thickBot="1"/>
    <row r="12" spans="1:9" ht="24" customHeight="1">
      <c r="A12" s="88"/>
      <c r="B12" s="89"/>
      <c r="C12" s="89"/>
      <c r="D12" s="383" t="s">
        <v>16</v>
      </c>
      <c r="E12" s="383"/>
      <c r="F12" s="383" t="s">
        <v>66</v>
      </c>
      <c r="G12" s="383"/>
      <c r="H12" s="398" t="s">
        <v>17</v>
      </c>
      <c r="I12" s="384"/>
    </row>
    <row r="13" spans="1:9" ht="24" customHeight="1">
      <c r="A13" s="90"/>
      <c r="B13" s="49"/>
      <c r="C13" s="49"/>
      <c r="D13" s="49" t="s">
        <v>14</v>
      </c>
      <c r="E13" s="49" t="s">
        <v>15</v>
      </c>
      <c r="F13" s="49" t="s">
        <v>14</v>
      </c>
      <c r="G13" s="49" t="s">
        <v>15</v>
      </c>
      <c r="H13" s="382" t="s">
        <v>14</v>
      </c>
      <c r="I13" s="399" t="s">
        <v>15</v>
      </c>
    </row>
    <row r="14" spans="1:9" ht="33" customHeight="1">
      <c r="A14" s="90"/>
      <c r="B14" s="49"/>
      <c r="C14" s="49"/>
      <c r="D14" s="382" t="str">
        <f>+'SHEET-1'!D14:E14</f>
        <v>Jan to Mar-22</v>
      </c>
      <c r="E14" s="382"/>
      <c r="F14" s="382" t="str">
        <f>+'SHEET-1'!F14:G14</f>
        <v>Jan to Mar-21</v>
      </c>
      <c r="G14" s="382"/>
      <c r="H14" s="382"/>
      <c r="I14" s="399"/>
    </row>
    <row r="15" spans="1:9" ht="24" customHeight="1">
      <c r="A15" s="90" t="s">
        <v>63</v>
      </c>
      <c r="B15" s="49" t="s">
        <v>76</v>
      </c>
      <c r="C15" s="49"/>
      <c r="D15" s="167"/>
      <c r="E15" s="167"/>
      <c r="F15" s="167"/>
      <c r="G15" s="167"/>
      <c r="H15" s="167"/>
      <c r="I15" s="168"/>
    </row>
    <row r="16" spans="1:9" ht="24" customHeight="1">
      <c r="A16" s="90">
        <v>1</v>
      </c>
      <c r="B16" s="92" t="s">
        <v>123</v>
      </c>
      <c r="C16" s="49" t="s">
        <v>77</v>
      </c>
      <c r="D16" s="189">
        <f>ROUND(+('SHEET-3'!D15/'SHEET-1'!D22)*10,2)</f>
        <v>4.76</v>
      </c>
      <c r="E16" s="171">
        <f>ROUND(+('SHEET-3'!E15/'SHEET-1'!E22)*10,2)</f>
        <v>4.95</v>
      </c>
      <c r="F16" s="189">
        <f>ROUND(+('SHEET-3'!F15/'SHEET-1'!F22)*10,2)</f>
        <v>4.6900000000000004</v>
      </c>
      <c r="G16" s="189">
        <f>ROUND(+('SHEET-3'!G15/'SHEET-1'!G22)*10,2)</f>
        <v>4.7300000000000004</v>
      </c>
      <c r="H16" s="172">
        <f>(D16-F16)/F16</f>
        <v>1.4925373134328228E-2</v>
      </c>
      <c r="I16" s="170">
        <f>(E16-G16)/G16</f>
        <v>4.6511627906976688E-2</v>
      </c>
    </row>
    <row r="17" spans="1:12" ht="24" customHeight="1">
      <c r="A17" s="90">
        <v>2</v>
      </c>
      <c r="B17" s="92" t="s">
        <v>69</v>
      </c>
      <c r="C17" s="49" t="s">
        <v>77</v>
      </c>
      <c r="D17" s="171"/>
      <c r="E17" s="171"/>
      <c r="F17" s="195"/>
      <c r="G17" s="171"/>
      <c r="H17" s="20"/>
      <c r="I17" s="182"/>
    </row>
    <row r="18" spans="1:12" ht="24" customHeight="1">
      <c r="A18" s="90">
        <v>3</v>
      </c>
      <c r="B18" s="92" t="s">
        <v>70</v>
      </c>
      <c r="C18" s="49" t="s">
        <v>77</v>
      </c>
      <c r="D18" s="171"/>
      <c r="E18" s="171"/>
      <c r="F18" s="171"/>
      <c r="G18" s="171"/>
      <c r="H18" s="20"/>
      <c r="I18" s="182"/>
    </row>
    <row r="19" spans="1:12" ht="24" customHeight="1">
      <c r="A19" s="90">
        <v>4</v>
      </c>
      <c r="B19" s="92" t="s">
        <v>71</v>
      </c>
      <c r="C19" s="49" t="s">
        <v>77</v>
      </c>
      <c r="D19" s="171"/>
      <c r="E19" s="171"/>
      <c r="F19" s="171"/>
      <c r="G19" s="171"/>
      <c r="H19" s="20"/>
      <c r="I19" s="182"/>
    </row>
    <row r="20" spans="1:12" ht="24" customHeight="1">
      <c r="A20" s="90">
        <v>5</v>
      </c>
      <c r="B20" s="92" t="s">
        <v>72</v>
      </c>
      <c r="C20" s="49" t="s">
        <v>77</v>
      </c>
      <c r="D20" s="171"/>
      <c r="E20" s="171"/>
      <c r="F20" s="171"/>
      <c r="G20" s="171"/>
      <c r="H20" s="20"/>
      <c r="I20" s="182"/>
    </row>
    <row r="21" spans="1:12" ht="28.5" customHeight="1">
      <c r="A21" s="90">
        <v>6</v>
      </c>
      <c r="B21" s="92" t="s">
        <v>228</v>
      </c>
      <c r="C21" s="49" t="s">
        <v>77</v>
      </c>
      <c r="D21" s="171">
        <f>ROUND(+('SHEET-3'!D23/'SHEET-1'!D27)*10,2)</f>
        <v>6.48</v>
      </c>
      <c r="E21" s="189">
        <f>ROUND(+('SHEET-3'!E23/'SHEET-1'!E27)*10,2)</f>
        <v>6.65</v>
      </c>
      <c r="F21" s="189">
        <f>ROUND(+('SHEET-3'!F23/'SHEET-1'!F27)*10,2)</f>
        <v>6.31</v>
      </c>
      <c r="G21" s="189">
        <f>ROUND(+('SHEET-3'!G23/'SHEET-1'!G27)*10,2)</f>
        <v>6.49</v>
      </c>
      <c r="H21" s="172">
        <f>(D21-F21)/F21</f>
        <v>2.6941362916006472E-2</v>
      </c>
      <c r="I21" s="170">
        <f>(E21-G21)/G21</f>
        <v>2.4653312788906031E-2</v>
      </c>
    </row>
    <row r="22" spans="1:12" ht="24" customHeight="1">
      <c r="A22" s="90"/>
      <c r="B22" s="49"/>
      <c r="C22" s="49"/>
      <c r="D22" s="171"/>
      <c r="E22" s="171"/>
      <c r="F22" s="171"/>
      <c r="G22" s="171"/>
      <c r="H22" s="20"/>
      <c r="I22" s="182"/>
    </row>
    <row r="23" spans="1:12" ht="24" customHeight="1">
      <c r="A23" s="90" t="s">
        <v>64</v>
      </c>
      <c r="B23" s="49" t="s">
        <v>106</v>
      </c>
      <c r="C23" s="49"/>
      <c r="D23" s="171"/>
      <c r="E23" s="171"/>
      <c r="F23" s="171"/>
      <c r="G23" s="171"/>
      <c r="H23" s="166"/>
      <c r="I23" s="182"/>
    </row>
    <row r="24" spans="1:12" ht="24" customHeight="1">
      <c r="A24" s="90">
        <v>1</v>
      </c>
      <c r="B24" s="92" t="s">
        <v>4</v>
      </c>
      <c r="C24" s="49" t="s">
        <v>77</v>
      </c>
      <c r="D24" s="171">
        <f>ROUND(+'SHEET-5'!D32/100,2)</f>
        <v>7.34</v>
      </c>
      <c r="E24" s="189">
        <f>ROUND(+'SHEET-5'!E32/100,2)</f>
        <v>6.88</v>
      </c>
      <c r="F24" s="189">
        <f>ROUND(+'SHEET-5'!F32/100,2)</f>
        <v>6.44</v>
      </c>
      <c r="G24" s="189">
        <f>ROUND(+'SHEET-5'!G32/100,2)</f>
        <v>7.42</v>
      </c>
      <c r="H24" s="172">
        <f t="shared" ref="H24:I26" si="0">(D24-F24)/F24</f>
        <v>0.13975155279503096</v>
      </c>
      <c r="I24" s="170">
        <f t="shared" si="0"/>
        <v>-7.277628032345014E-2</v>
      </c>
      <c r="K24" s="98"/>
      <c r="L24" s="98"/>
    </row>
    <row r="25" spans="1:12" ht="24" customHeight="1">
      <c r="A25" s="90">
        <v>2</v>
      </c>
      <c r="B25" s="92" t="s">
        <v>73</v>
      </c>
      <c r="C25" s="49" t="s">
        <v>77</v>
      </c>
      <c r="D25" s="171">
        <f>ROUND(+'SHEET-5'!D39/100,2)</f>
        <v>5.71</v>
      </c>
      <c r="E25" s="189">
        <f>ROUND(+'SHEET-5'!E39/100,2)</f>
        <v>5.93</v>
      </c>
      <c r="F25" s="189">
        <f>ROUND(+'SHEET-5'!F39/100,2)</f>
        <v>5.07</v>
      </c>
      <c r="G25" s="189">
        <f>ROUND(+'SHEET-5'!G39/100,2)</f>
        <v>5.47</v>
      </c>
      <c r="H25" s="172">
        <f t="shared" si="0"/>
        <v>0.12623274161735693</v>
      </c>
      <c r="I25" s="170">
        <f t="shared" si="0"/>
        <v>8.4095063985374766E-2</v>
      </c>
      <c r="K25" s="98"/>
      <c r="L25" s="98"/>
    </row>
    <row r="26" spans="1:12" ht="24" customHeight="1">
      <c r="A26" s="99">
        <v>3</v>
      </c>
      <c r="B26" s="100" t="s">
        <v>74</v>
      </c>
      <c r="C26" s="49" t="s">
        <v>77</v>
      </c>
      <c r="D26" s="165">
        <f>ROUND(+'SHEET-5'!D40/100,2)</f>
        <v>6.51</v>
      </c>
      <c r="E26" s="188">
        <f>ROUND(+'SHEET-5'!E40/100,2)</f>
        <v>6.36</v>
      </c>
      <c r="F26" s="188">
        <f>ROUND(+'SHEET-5'!F40/100,2)</f>
        <v>5.72</v>
      </c>
      <c r="G26" s="188">
        <f>ROUND(+'SHEET-5'!G40/100,2)</f>
        <v>6.2</v>
      </c>
      <c r="H26" s="172">
        <f t="shared" si="0"/>
        <v>0.13811188811188813</v>
      </c>
      <c r="I26" s="170">
        <f t="shared" si="0"/>
        <v>2.5806451612903247E-2</v>
      </c>
      <c r="K26" s="98"/>
      <c r="L26" s="98"/>
    </row>
    <row r="27" spans="1:12" ht="24" customHeight="1">
      <c r="A27" s="99"/>
      <c r="B27" s="100"/>
      <c r="C27" s="91"/>
      <c r="D27" s="165"/>
      <c r="E27" s="165"/>
      <c r="F27" s="165"/>
      <c r="G27" s="165"/>
      <c r="H27" s="53"/>
      <c r="I27" s="101"/>
    </row>
    <row r="28" spans="1:12" ht="24" customHeight="1" thickBot="1">
      <c r="A28" s="94"/>
      <c r="B28" s="95" t="s">
        <v>75</v>
      </c>
      <c r="C28" s="21"/>
      <c r="D28" s="102"/>
      <c r="E28" s="102"/>
      <c r="F28" s="102"/>
      <c r="G28" s="102"/>
      <c r="H28" s="103"/>
      <c r="I28" s="104"/>
    </row>
    <row r="30" spans="1:12" ht="15.75">
      <c r="F30" s="105"/>
      <c r="G30" s="105"/>
      <c r="H30" s="105"/>
    </row>
    <row r="35" spans="1:2" ht="12.75" customHeight="1">
      <c r="A35" s="388"/>
      <c r="B35" s="388"/>
    </row>
  </sheetData>
  <mergeCells count="11">
    <mergeCell ref="A5:I5"/>
    <mergeCell ref="A35:B35"/>
    <mergeCell ref="H12:I12"/>
    <mergeCell ref="H13:H14"/>
    <mergeCell ref="I13:I14"/>
    <mergeCell ref="D14:E14"/>
    <mergeCell ref="D12:E12"/>
    <mergeCell ref="F12:G12"/>
    <mergeCell ref="F14:G14"/>
    <mergeCell ref="A10:I10"/>
    <mergeCell ref="A8:I8"/>
  </mergeCells>
  <phoneticPr fontId="2" type="noConversion"/>
  <printOptions horizontalCentered="1" verticalCentered="1"/>
  <pageMargins left="0.5" right="0.25" top="1.25" bottom="0.25" header="0.5" footer="0.5"/>
  <pageSetup paperSize="9" scale="60" orientation="landscape" verticalDpi="300" r:id="rId1"/>
  <headerFooter alignWithMargins="0"/>
</worksheet>
</file>

<file path=xl/worksheets/sheet3.xml><?xml version="1.0" encoding="utf-8"?>
<worksheet xmlns="http://schemas.openxmlformats.org/spreadsheetml/2006/main" xmlns:r="http://schemas.openxmlformats.org/officeDocument/2006/relationships">
  <sheetPr>
    <tabColor rgb="FFFFFF00"/>
  </sheetPr>
  <dimension ref="A2:M67"/>
  <sheetViews>
    <sheetView view="pageBreakPreview" topLeftCell="A10" zoomScale="60" zoomScaleNormal="60" workbookViewId="0">
      <selection activeCell="E32" sqref="E32"/>
    </sheetView>
  </sheetViews>
  <sheetFormatPr defaultRowHeight="12.75"/>
  <cols>
    <col min="1" max="1" width="8" style="85" customWidth="1"/>
    <col min="2" max="2" width="76.42578125" style="85" customWidth="1"/>
    <col min="3" max="3" width="22" style="85" customWidth="1"/>
    <col min="4" max="4" width="25" style="85" customWidth="1"/>
    <col min="5" max="5" width="23.5703125" style="85" customWidth="1"/>
    <col min="6" max="6" width="24.42578125" style="85" customWidth="1"/>
    <col min="7" max="7" width="23.5703125" style="85" customWidth="1"/>
    <col min="8" max="8" width="19.5703125" style="85" customWidth="1"/>
    <col min="9" max="9" width="21.28515625" style="85" customWidth="1"/>
    <col min="10" max="10" width="9.85546875" style="85" bestFit="1" customWidth="1"/>
    <col min="11" max="11" width="9.140625" style="85"/>
    <col min="12" max="13" width="15.85546875" style="85" bestFit="1" customWidth="1"/>
    <col min="14" max="16384" width="9.140625" style="85"/>
  </cols>
  <sheetData>
    <row r="2" spans="1:11" ht="30">
      <c r="I2" s="106" t="s">
        <v>43</v>
      </c>
    </row>
    <row r="5" spans="1:11" ht="30">
      <c r="A5" s="400" t="s">
        <v>0</v>
      </c>
      <c r="B5" s="400"/>
      <c r="C5" s="400"/>
      <c r="D5" s="400"/>
      <c r="E5" s="400"/>
      <c r="F5" s="400"/>
      <c r="G5" s="400"/>
      <c r="H5" s="400"/>
      <c r="I5" s="400"/>
    </row>
    <row r="6" spans="1:11" ht="18" customHeight="1">
      <c r="A6" s="87"/>
      <c r="B6" s="87"/>
      <c r="C6" s="87"/>
      <c r="D6" s="87"/>
      <c r="E6" s="87"/>
    </row>
    <row r="8" spans="1:11" ht="27.75">
      <c r="A8" s="401" t="s">
        <v>42</v>
      </c>
      <c r="B8" s="401"/>
      <c r="C8" s="401"/>
      <c r="D8" s="401"/>
      <c r="E8" s="401"/>
      <c r="F8" s="401"/>
      <c r="G8" s="401"/>
      <c r="H8" s="401"/>
      <c r="I8" s="401"/>
    </row>
    <row r="10" spans="1:11" ht="27.75">
      <c r="A10" s="401" t="s">
        <v>41</v>
      </c>
      <c r="B10" s="401"/>
      <c r="C10" s="401"/>
      <c r="D10" s="401"/>
      <c r="E10" s="401"/>
      <c r="F10" s="401"/>
      <c r="G10" s="401"/>
      <c r="H10" s="401"/>
      <c r="I10" s="401"/>
    </row>
    <row r="11" spans="1:11" ht="13.5" thickBot="1"/>
    <row r="12" spans="1:11" ht="21.6" customHeight="1">
      <c r="A12" s="88"/>
      <c r="B12" s="89"/>
      <c r="C12" s="89"/>
      <c r="D12" s="383" t="s">
        <v>105</v>
      </c>
      <c r="E12" s="383"/>
      <c r="F12" s="383" t="s">
        <v>66</v>
      </c>
      <c r="G12" s="383"/>
      <c r="H12" s="383" t="s">
        <v>17</v>
      </c>
      <c r="I12" s="384"/>
    </row>
    <row r="13" spans="1:11" ht="21.6" customHeight="1">
      <c r="A13" s="90"/>
      <c r="B13" s="49"/>
      <c r="C13" s="49"/>
      <c r="D13" s="49" t="s">
        <v>14</v>
      </c>
      <c r="E13" s="49" t="s">
        <v>15</v>
      </c>
      <c r="F13" s="49" t="s">
        <v>14</v>
      </c>
      <c r="G13" s="49" t="s">
        <v>15</v>
      </c>
      <c r="H13" s="382" t="s">
        <v>14</v>
      </c>
      <c r="I13" s="377" t="s">
        <v>15</v>
      </c>
    </row>
    <row r="14" spans="1:11" ht="33" customHeight="1">
      <c r="A14" s="90"/>
      <c r="B14" s="49"/>
      <c r="C14" s="49"/>
      <c r="D14" s="382" t="str">
        <f>+'SHEET-2'!D14:E14</f>
        <v>Jan to Mar-22</v>
      </c>
      <c r="E14" s="382"/>
      <c r="F14" s="382" t="str">
        <f>+'SHEET-2'!F14:G14</f>
        <v>Jan to Mar-21</v>
      </c>
      <c r="G14" s="382"/>
      <c r="H14" s="389"/>
      <c r="I14" s="377"/>
    </row>
    <row r="15" spans="1:11" ht="24" customHeight="1">
      <c r="A15" s="90">
        <v>1</v>
      </c>
      <c r="B15" s="92" t="s">
        <v>125</v>
      </c>
      <c r="C15" s="49" t="s">
        <v>13</v>
      </c>
      <c r="D15" s="171">
        <f>+E15-4964.53</f>
        <v>1563.79</v>
      </c>
      <c r="E15" s="171">
        <v>6528.32</v>
      </c>
      <c r="F15" s="237">
        <f>+G15-4014.45</f>
        <v>1480.5900000000001</v>
      </c>
      <c r="G15" s="200">
        <v>5495.04</v>
      </c>
      <c r="H15" s="172">
        <f t="shared" ref="H15:I21" si="0">(D15-F15)/F15</f>
        <v>5.619381462795224E-2</v>
      </c>
      <c r="I15" s="179">
        <f t="shared" si="0"/>
        <v>0.18803866759841598</v>
      </c>
      <c r="J15" s="201"/>
      <c r="K15" s="212"/>
    </row>
    <row r="16" spans="1:11" ht="24" customHeight="1">
      <c r="A16" s="90">
        <v>2</v>
      </c>
      <c r="B16" s="92" t="s">
        <v>25</v>
      </c>
      <c r="C16" s="49" t="s">
        <v>13</v>
      </c>
      <c r="D16" s="171">
        <f>+E16-434.99</f>
        <v>151.14999999999998</v>
      </c>
      <c r="E16" s="171">
        <f>+'SHEET-7'!C23</f>
        <v>586.14</v>
      </c>
      <c r="F16" s="237">
        <f>+G16-397.08</f>
        <v>114.56</v>
      </c>
      <c r="G16" s="203">
        <f>+'SHEET-7'!D23</f>
        <v>511.64</v>
      </c>
      <c r="H16" s="172">
        <f t="shared" si="0"/>
        <v>0.31939594972067015</v>
      </c>
      <c r="I16" s="179">
        <f t="shared" si="0"/>
        <v>0.14561019466812603</v>
      </c>
      <c r="J16" s="201"/>
    </row>
    <row r="17" spans="1:13" ht="24" customHeight="1">
      <c r="A17" s="90">
        <v>3</v>
      </c>
      <c r="B17" s="92" t="s">
        <v>26</v>
      </c>
      <c r="C17" s="49" t="s">
        <v>13</v>
      </c>
      <c r="D17" s="171">
        <f>+E17-40.06</f>
        <v>12.599999999999994</v>
      </c>
      <c r="E17" s="171">
        <f>+'SHEET-7'!C29</f>
        <v>52.66</v>
      </c>
      <c r="F17" s="237">
        <f>+G17-49.19+8</f>
        <v>12.740000000000002</v>
      </c>
      <c r="G17" s="203">
        <f>+'SHEET-7'!D29</f>
        <v>53.93</v>
      </c>
      <c r="H17" s="172">
        <f t="shared" si="0"/>
        <v>-1.098901098901159E-2</v>
      </c>
      <c r="I17" s="179">
        <f t="shared" si="0"/>
        <v>-2.3549045058409108E-2</v>
      </c>
      <c r="J17" s="201"/>
    </row>
    <row r="18" spans="1:13" ht="24" customHeight="1">
      <c r="A18" s="90">
        <v>4</v>
      </c>
      <c r="B18" s="92" t="s">
        <v>27</v>
      </c>
      <c r="C18" s="49" t="s">
        <v>13</v>
      </c>
      <c r="D18" s="171">
        <f>+E18-59.9</f>
        <v>20.630000000000003</v>
      </c>
      <c r="E18" s="171">
        <f>+'SHEET-7'!C24</f>
        <v>80.53</v>
      </c>
      <c r="F18" s="237">
        <f>+G18-48.58-5</f>
        <v>23.840000000000003</v>
      </c>
      <c r="G18" s="203">
        <f>+'SHEET-7'!D24</f>
        <v>77.42</v>
      </c>
      <c r="H18" s="172">
        <f t="shared" si="0"/>
        <v>-0.13464765100671142</v>
      </c>
      <c r="I18" s="179">
        <f>(E18-G18)/G18</f>
        <v>4.0170498579178496E-2</v>
      </c>
      <c r="J18" s="201"/>
      <c r="L18" s="107"/>
      <c r="M18" s="107"/>
    </row>
    <row r="19" spans="1:13" ht="24" customHeight="1">
      <c r="A19" s="90">
        <v>5</v>
      </c>
      <c r="B19" s="92" t="s">
        <v>28</v>
      </c>
      <c r="C19" s="49" t="s">
        <v>13</v>
      </c>
      <c r="D19" s="171">
        <f>+E19-201.44</f>
        <v>73.88</v>
      </c>
      <c r="E19" s="171">
        <f>+'SHEET-7'!C28</f>
        <v>275.32</v>
      </c>
      <c r="F19" s="237">
        <f>+G19-211.05+12</f>
        <v>71.670000000000016</v>
      </c>
      <c r="G19" s="203">
        <f>+'SHEET-7'!D28</f>
        <v>270.72000000000003</v>
      </c>
      <c r="H19" s="172">
        <f t="shared" si="0"/>
        <v>3.0835775080228535E-2</v>
      </c>
      <c r="I19" s="179">
        <f>(E19-G19)/G19</f>
        <v>1.6991725768321385E-2</v>
      </c>
      <c r="J19" s="201"/>
      <c r="L19" s="108"/>
      <c r="M19" s="108"/>
    </row>
    <row r="20" spans="1:13" ht="24" customHeight="1">
      <c r="A20" s="90">
        <v>6</v>
      </c>
      <c r="B20" s="92" t="s">
        <v>29</v>
      </c>
      <c r="C20" s="49" t="s">
        <v>13</v>
      </c>
      <c r="D20" s="171">
        <f>+E20-63.13</f>
        <v>29.68</v>
      </c>
      <c r="E20" s="171">
        <f>+'SHEET-7'!C25</f>
        <v>92.81</v>
      </c>
      <c r="F20" s="237">
        <f>+G20-60.79+5</f>
        <v>25.32</v>
      </c>
      <c r="G20" s="203">
        <f>+'SHEET-7'!D25</f>
        <v>81.11</v>
      </c>
      <c r="H20" s="180">
        <f t="shared" si="0"/>
        <v>0.17219589257503948</v>
      </c>
      <c r="I20" s="181">
        <f>(E20-G20)/G20</f>
        <v>0.14424855135001852</v>
      </c>
      <c r="J20" s="201"/>
      <c r="L20" s="108"/>
      <c r="M20" s="108"/>
    </row>
    <row r="21" spans="1:13" ht="24" customHeight="1">
      <c r="A21" s="90" t="s">
        <v>116</v>
      </c>
      <c r="B21" s="92" t="s">
        <v>117</v>
      </c>
      <c r="C21" s="49" t="s">
        <v>13</v>
      </c>
      <c r="D21" s="200">
        <f>+E21+27.2</f>
        <v>-6.1400000000000041</v>
      </c>
      <c r="E21" s="171">
        <f>+'SHEET-7'!C32</f>
        <v>-33.340000000000003</v>
      </c>
      <c r="F21" s="237">
        <f>+G21+39.13-6</f>
        <v>-6.3299999999999983</v>
      </c>
      <c r="G21" s="203">
        <f>+'SHEET-7'!D32</f>
        <v>-39.46</v>
      </c>
      <c r="H21" s="196">
        <f t="shared" si="0"/>
        <v>-3.0015797788308724E-2</v>
      </c>
      <c r="I21" s="196">
        <f t="shared" si="0"/>
        <v>-0.15509376583882406</v>
      </c>
      <c r="J21" s="201"/>
      <c r="L21" s="108"/>
      <c r="M21" s="108"/>
    </row>
    <row r="22" spans="1:13" ht="24" customHeight="1">
      <c r="A22" s="90">
        <v>7</v>
      </c>
      <c r="B22" s="92" t="s">
        <v>124</v>
      </c>
      <c r="C22" s="49" t="s">
        <v>13</v>
      </c>
      <c r="D22" s="171">
        <f>+E22-25.97</f>
        <v>13.969999999999999</v>
      </c>
      <c r="E22" s="171">
        <f>+'SHEET-7'!C26</f>
        <v>39.94</v>
      </c>
      <c r="F22" s="237">
        <f>+G22-38.16+34</f>
        <v>9.5200000000000031</v>
      </c>
      <c r="G22" s="203">
        <f>+'SHEET-7'!D26</f>
        <v>13.68</v>
      </c>
      <c r="H22" s="217">
        <f t="shared" ref="H22" si="1">(D22-F22)/F22</f>
        <v>0.46743697478991536</v>
      </c>
      <c r="I22" s="217">
        <f t="shared" ref="I22" si="2">(E22-G22)/G22</f>
        <v>1.9195906432748537</v>
      </c>
      <c r="J22" s="201"/>
      <c r="L22" s="108"/>
      <c r="M22" s="108"/>
    </row>
    <row r="23" spans="1:13" ht="24" customHeight="1">
      <c r="A23" s="90">
        <v>8</v>
      </c>
      <c r="B23" s="92" t="s">
        <v>30</v>
      </c>
      <c r="C23" s="49" t="s">
        <v>13</v>
      </c>
      <c r="D23" s="22">
        <f>+SUM(D15:D22)</f>
        <v>1859.5600000000002</v>
      </c>
      <c r="E23" s="22">
        <f>+SUM(E15:E22)</f>
        <v>7622.3799999999992</v>
      </c>
      <c r="F23" s="203">
        <f>+SUM(F15:F22)</f>
        <v>1731.91</v>
      </c>
      <c r="G23" s="203">
        <f>+SUM(G15:G22)</f>
        <v>6464.0800000000008</v>
      </c>
      <c r="H23" s="172">
        <f t="shared" ref="H23:I32" si="3">(D23-F23)/F23</f>
        <v>7.3704753711220608E-2</v>
      </c>
      <c r="I23" s="179">
        <f t="shared" si="3"/>
        <v>0.17919023279414831</v>
      </c>
      <c r="J23" s="97"/>
    </row>
    <row r="24" spans="1:13" ht="24" customHeight="1">
      <c r="A24" s="90"/>
      <c r="B24" s="229" t="s">
        <v>233</v>
      </c>
      <c r="C24" s="221"/>
      <c r="D24" s="22"/>
      <c r="E24" s="22"/>
      <c r="F24" s="222"/>
      <c r="G24" s="222"/>
      <c r="H24" s="223"/>
      <c r="I24" s="179"/>
      <c r="J24" s="97"/>
    </row>
    <row r="25" spans="1:13" ht="24" customHeight="1">
      <c r="A25" s="90">
        <v>9</v>
      </c>
      <c r="B25" s="92" t="s">
        <v>87</v>
      </c>
      <c r="C25" s="221" t="s">
        <v>13</v>
      </c>
      <c r="D25" s="200">
        <f>+E25-103.01</f>
        <v>91.64</v>
      </c>
      <c r="E25" s="200">
        <f>+'SHEET-7'!C14</f>
        <v>194.65</v>
      </c>
      <c r="F25" s="237">
        <f>+G25-116.32+50</f>
        <v>75.69</v>
      </c>
      <c r="G25" s="222">
        <f>+'SHEET-7'!D14</f>
        <v>142.01</v>
      </c>
      <c r="H25" s="223">
        <f t="shared" ref="H25" si="4">(D25-F25)/F25</f>
        <v>0.21072796934865906</v>
      </c>
      <c r="I25" s="179">
        <f t="shared" ref="I25" si="5">(E25-G25)/G25</f>
        <v>0.37067812125906641</v>
      </c>
    </row>
    <row r="26" spans="1:13" ht="24" customHeight="1">
      <c r="A26" s="90">
        <v>10</v>
      </c>
      <c r="B26" s="92" t="s">
        <v>107</v>
      </c>
      <c r="C26" s="49" t="s">
        <v>13</v>
      </c>
      <c r="D26" s="171">
        <f>+E26-5422.28</f>
        <v>1867.79</v>
      </c>
      <c r="E26" s="171">
        <f>+'SHEET-7'!C11</f>
        <v>7290.07</v>
      </c>
      <c r="F26" s="237">
        <f>+G26-4572.51</f>
        <v>1599.08</v>
      </c>
      <c r="G26" s="203">
        <f>+'SHEET-7'!D11</f>
        <v>6171.59</v>
      </c>
      <c r="H26" s="172">
        <f t="shared" ref="H26:I28" si="6">(D26-F26)/F26</f>
        <v>0.16804037321459842</v>
      </c>
      <c r="I26" s="170">
        <f t="shared" si="6"/>
        <v>0.18123044466660934</v>
      </c>
    </row>
    <row r="27" spans="1:13" ht="24" customHeight="1">
      <c r="A27" s="90">
        <v>11</v>
      </c>
      <c r="B27" s="92" t="s">
        <v>33</v>
      </c>
      <c r="C27" s="49" t="s">
        <v>13</v>
      </c>
      <c r="D27" s="171">
        <f>+E27-58.74</f>
        <v>15.079999999999991</v>
      </c>
      <c r="E27" s="171">
        <f>+'SHEET-7'!C13</f>
        <v>73.819999999999993</v>
      </c>
      <c r="F27" s="237">
        <f>+G27-51.2</f>
        <v>33.649999999999991</v>
      </c>
      <c r="G27" s="203">
        <f>+'SHEET-7'!D13</f>
        <v>84.85</v>
      </c>
      <c r="H27" s="172">
        <f t="shared" si="6"/>
        <v>-0.5518573551263003</v>
      </c>
      <c r="I27" s="170">
        <f t="shared" si="6"/>
        <v>-0.12999410724808488</v>
      </c>
    </row>
    <row r="28" spans="1:13" ht="24" customHeight="1">
      <c r="A28" s="90">
        <v>12</v>
      </c>
      <c r="B28" s="92" t="s">
        <v>224</v>
      </c>
      <c r="C28" s="49" t="s">
        <v>13</v>
      </c>
      <c r="D28" s="171">
        <f>+E28-123.6</f>
        <v>43.380000000000024</v>
      </c>
      <c r="E28" s="171">
        <f>+'SHEET-7'!C12</f>
        <v>166.98000000000002</v>
      </c>
      <c r="F28" s="237">
        <f>+G28-110.33-30</f>
        <v>51.469999999999985</v>
      </c>
      <c r="G28" s="203">
        <f>+'SHEET-7'!D12</f>
        <v>191.79999999999998</v>
      </c>
      <c r="H28" s="172">
        <f t="shared" si="6"/>
        <v>-0.1571789391878757</v>
      </c>
      <c r="I28" s="170">
        <f t="shared" si="6"/>
        <v>-0.12940563086548471</v>
      </c>
    </row>
    <row r="29" spans="1:13" ht="24" customHeight="1">
      <c r="A29" s="90">
        <v>13</v>
      </c>
      <c r="B29" s="92" t="s">
        <v>234</v>
      </c>
      <c r="C29" s="221" t="s">
        <v>13</v>
      </c>
      <c r="D29" s="200">
        <f>+SUM(D25:D28)</f>
        <v>2017.89</v>
      </c>
      <c r="E29" s="200">
        <f t="shared" ref="E29:G29" si="7">+SUM(E25:E28)</f>
        <v>7725.5199999999986</v>
      </c>
      <c r="F29" s="200">
        <f t="shared" si="7"/>
        <v>1759.89</v>
      </c>
      <c r="G29" s="200">
        <f t="shared" si="7"/>
        <v>6590.2500000000009</v>
      </c>
      <c r="H29" s="223">
        <f t="shared" ref="H29" si="8">(D29-F29)/F29</f>
        <v>0.1466000715953838</v>
      </c>
      <c r="I29" s="224">
        <f t="shared" ref="I29" si="9">(E29-G29)/G29</f>
        <v>0.17226508857782294</v>
      </c>
    </row>
    <row r="30" spans="1:13" ht="24" customHeight="1">
      <c r="A30" s="90">
        <v>14</v>
      </c>
      <c r="B30" s="92" t="s">
        <v>118</v>
      </c>
      <c r="C30" s="49" t="s">
        <v>34</v>
      </c>
      <c r="D30" s="172">
        <f>D15/D23</f>
        <v>0.84094624534836193</v>
      </c>
      <c r="E30" s="172">
        <f>E15/E23</f>
        <v>0.85646740256980114</v>
      </c>
      <c r="F30" s="199">
        <f>F15/F23</f>
        <v>0.8548885334688292</v>
      </c>
      <c r="G30" s="199">
        <f>G15/G23</f>
        <v>0.85008848900384881</v>
      </c>
      <c r="H30" s="172">
        <f>D30-F30</f>
        <v>-1.3942288120467272E-2</v>
      </c>
      <c r="I30" s="172">
        <f>E30-G30</f>
        <v>6.3789135659523266E-3</v>
      </c>
    </row>
    <row r="31" spans="1:13" ht="24" customHeight="1">
      <c r="A31" s="90"/>
      <c r="B31" s="92"/>
      <c r="C31" s="221"/>
      <c r="D31" s="223"/>
      <c r="E31" s="223"/>
      <c r="F31" s="223"/>
      <c r="G31" s="223"/>
      <c r="H31" s="223"/>
      <c r="I31" s="228"/>
    </row>
    <row r="32" spans="1:13" ht="24" customHeight="1">
      <c r="A32" s="90">
        <v>15</v>
      </c>
      <c r="B32" s="92" t="s">
        <v>31</v>
      </c>
      <c r="C32" s="49" t="s">
        <v>13</v>
      </c>
      <c r="D32" s="171">
        <f>+E32-156.44</f>
        <v>89.390000000000015</v>
      </c>
      <c r="E32" s="171">
        <v>245.83</v>
      </c>
      <c r="F32" s="237">
        <f>+G32-153.56</f>
        <v>97.990000000000009</v>
      </c>
      <c r="G32" s="237">
        <v>251.55</v>
      </c>
      <c r="H32" s="172">
        <f t="shared" si="3"/>
        <v>-8.7764057556893496E-2</v>
      </c>
      <c r="I32" s="179">
        <f t="shared" si="3"/>
        <v>-2.2739018087855292E-2</v>
      </c>
    </row>
    <row r="33" spans="1:9" ht="24" customHeight="1">
      <c r="A33" s="90">
        <v>16</v>
      </c>
      <c r="B33" s="92" t="s">
        <v>32</v>
      </c>
      <c r="C33" s="49" t="s">
        <v>13</v>
      </c>
      <c r="D33" s="171">
        <v>0</v>
      </c>
      <c r="E33" s="171">
        <f>+D33</f>
        <v>0</v>
      </c>
      <c r="F33" s="200">
        <v>0</v>
      </c>
      <c r="G33" s="203">
        <v>0</v>
      </c>
      <c r="H33" s="217">
        <v>0</v>
      </c>
      <c r="I33" s="179">
        <v>0</v>
      </c>
    </row>
    <row r="34" spans="1:9" ht="24" customHeight="1">
      <c r="A34" s="90">
        <v>17</v>
      </c>
      <c r="B34" s="92" t="s">
        <v>229</v>
      </c>
      <c r="C34" s="49" t="s">
        <v>13</v>
      </c>
      <c r="D34" s="169">
        <v>0</v>
      </c>
      <c r="E34" s="169">
        <f>+D34</f>
        <v>0</v>
      </c>
      <c r="F34" s="203">
        <f>+G34-0.02</f>
        <v>0.02</v>
      </c>
      <c r="G34" s="203">
        <v>0.04</v>
      </c>
      <c r="H34" s="217">
        <v>0</v>
      </c>
      <c r="I34" s="179">
        <v>0</v>
      </c>
    </row>
    <row r="42" spans="1:9" ht="12.75" customHeight="1">
      <c r="A42" s="388"/>
      <c r="B42" s="388"/>
    </row>
    <row r="57" spans="4:8" ht="23.25">
      <c r="D57" s="109">
        <f>3+0.58+0.94</f>
        <v>4.5199999999999996</v>
      </c>
      <c r="E57" s="109">
        <v>30066980.798</v>
      </c>
      <c r="F57" s="85">
        <v>5786401.75</v>
      </c>
      <c r="G57" s="110">
        <v>9381444.3800000008</v>
      </c>
      <c r="H57" s="85">
        <v>87524122.379999995</v>
      </c>
    </row>
    <row r="58" spans="4:8" ht="23.25">
      <c r="D58" s="111"/>
      <c r="E58" s="111">
        <f>E57/10^7</f>
        <v>3.0066980798</v>
      </c>
      <c r="F58" s="111">
        <f t="shared" ref="F58:H58" si="10">F57/10^7</f>
        <v>0.57864017499999998</v>
      </c>
      <c r="G58" s="111">
        <f t="shared" si="10"/>
        <v>0.93814443800000014</v>
      </c>
      <c r="H58" s="111">
        <f t="shared" si="10"/>
        <v>8.7524122379999998</v>
      </c>
    </row>
    <row r="59" spans="4:8" ht="23.25">
      <c r="D59" s="111"/>
      <c r="E59" s="111"/>
    </row>
    <row r="60" spans="4:8" ht="23.25">
      <c r="D60" s="111"/>
      <c r="E60" s="111"/>
    </row>
    <row r="61" spans="4:8" ht="23.25">
      <c r="D61" s="111"/>
      <c r="E61" s="111"/>
    </row>
    <row r="62" spans="4:8" ht="23.25">
      <c r="D62" s="111"/>
      <c r="E62" s="111"/>
    </row>
    <row r="63" spans="4:8" ht="23.25">
      <c r="D63" s="111"/>
      <c r="E63" s="111"/>
    </row>
    <row r="64" spans="4:8" ht="23.25">
      <c r="D64" s="111"/>
      <c r="E64" s="111"/>
    </row>
    <row r="66" spans="4:4" ht="23.25">
      <c r="D66" s="111">
        <v>0.64</v>
      </c>
    </row>
    <row r="67" spans="4:4" ht="23.25">
      <c r="D67" s="111">
        <f>SUM(D64:D66)</f>
        <v>0.64</v>
      </c>
    </row>
  </sheetData>
  <mergeCells count="11">
    <mergeCell ref="F14:G14"/>
    <mergeCell ref="A5:I5"/>
    <mergeCell ref="A8:I8"/>
    <mergeCell ref="A10:I10"/>
    <mergeCell ref="A42:B42"/>
    <mergeCell ref="H12:I12"/>
    <mergeCell ref="H13:H14"/>
    <mergeCell ref="I13:I14"/>
    <mergeCell ref="D14:E14"/>
    <mergeCell ref="D12:E12"/>
    <mergeCell ref="F12:G12"/>
  </mergeCells>
  <phoneticPr fontId="2" type="noConversion"/>
  <printOptions horizontalCentered="1" verticalCentered="1"/>
  <pageMargins left="0.25" right="0.25" top="1" bottom="0.25" header="0.5" footer="0.5"/>
  <pageSetup paperSize="9" scale="59" orientation="landscape" verticalDpi="300" r:id="rId1"/>
  <headerFooter alignWithMargins="0"/>
</worksheet>
</file>

<file path=xl/worksheets/sheet4.xml><?xml version="1.0" encoding="utf-8"?>
<worksheet xmlns="http://schemas.openxmlformats.org/spreadsheetml/2006/main" xmlns:r="http://schemas.openxmlformats.org/officeDocument/2006/relationships">
  <sheetPr>
    <tabColor rgb="FFFFC000"/>
  </sheetPr>
  <dimension ref="A2:N68"/>
  <sheetViews>
    <sheetView view="pageBreakPreview" topLeftCell="A16" zoomScale="60" zoomScaleNormal="60" workbookViewId="0">
      <selection activeCell="E14" sqref="E14"/>
    </sheetView>
  </sheetViews>
  <sheetFormatPr defaultRowHeight="12.75"/>
  <cols>
    <col min="1" max="1" width="8" style="58" customWidth="1"/>
    <col min="2" max="2" width="77.5703125" style="58" customWidth="1"/>
    <col min="3" max="3" width="17" style="58" customWidth="1"/>
    <col min="4" max="4" width="24.42578125" style="58" customWidth="1"/>
    <col min="5" max="5" width="25.5703125" style="58" customWidth="1"/>
    <col min="6" max="6" width="23.85546875" style="58" customWidth="1"/>
    <col min="7" max="7" width="25.85546875" style="58" customWidth="1"/>
    <col min="8" max="8" width="19.42578125" style="58" customWidth="1"/>
    <col min="9" max="9" width="20.42578125" style="58" customWidth="1"/>
    <col min="10" max="12" width="9.140625" style="58"/>
    <col min="13" max="13" width="15.85546875" style="58" bestFit="1" customWidth="1"/>
    <col min="14" max="14" width="24.7109375" style="58" bestFit="1" customWidth="1"/>
    <col min="15" max="16384" width="9.140625" style="58"/>
  </cols>
  <sheetData>
    <row r="2" spans="1:9" ht="33">
      <c r="I2" s="59" t="s">
        <v>225</v>
      </c>
    </row>
    <row r="5" spans="1:9" ht="30">
      <c r="A5" s="406" t="s">
        <v>0</v>
      </c>
      <c r="B5" s="406"/>
      <c r="C5" s="406"/>
      <c r="D5" s="406"/>
      <c r="E5" s="406"/>
      <c r="F5" s="406"/>
      <c r="G5" s="406"/>
      <c r="H5" s="406"/>
      <c r="I5" s="406"/>
    </row>
    <row r="7" spans="1:9" ht="27.75">
      <c r="A7" s="415" t="s">
        <v>20</v>
      </c>
      <c r="B7" s="415"/>
      <c r="C7" s="415"/>
      <c r="D7" s="415"/>
      <c r="E7" s="415"/>
      <c r="F7" s="415"/>
      <c r="G7" s="415"/>
      <c r="H7" s="415"/>
      <c r="I7" s="415"/>
    </row>
    <row r="9" spans="1:9" ht="27.75">
      <c r="A9" s="415" t="s">
        <v>24</v>
      </c>
      <c r="B9" s="415"/>
      <c r="C9" s="415"/>
      <c r="D9" s="415"/>
      <c r="E9" s="415"/>
      <c r="F9" s="415"/>
      <c r="G9" s="415"/>
      <c r="H9" s="415"/>
      <c r="I9" s="415"/>
    </row>
    <row r="10" spans="1:9" ht="13.5" thickBot="1"/>
    <row r="11" spans="1:9" ht="21.6" customHeight="1">
      <c r="A11" s="60"/>
      <c r="B11" s="61"/>
      <c r="C11" s="61"/>
      <c r="D11" s="402" t="s">
        <v>16</v>
      </c>
      <c r="E11" s="402"/>
      <c r="F11" s="402" t="s">
        <v>66</v>
      </c>
      <c r="G11" s="402"/>
      <c r="H11" s="402" t="s">
        <v>17</v>
      </c>
      <c r="I11" s="403"/>
    </row>
    <row r="12" spans="1:9" ht="21.6" customHeight="1">
      <c r="A12" s="62"/>
      <c r="B12" s="54"/>
      <c r="C12" s="54"/>
      <c r="D12" s="54" t="s">
        <v>14</v>
      </c>
      <c r="E12" s="54" t="s">
        <v>15</v>
      </c>
      <c r="F12" s="54" t="s">
        <v>14</v>
      </c>
      <c r="G12" s="54" t="s">
        <v>15</v>
      </c>
      <c r="H12" s="404" t="s">
        <v>14</v>
      </c>
      <c r="I12" s="405" t="s">
        <v>15</v>
      </c>
    </row>
    <row r="13" spans="1:9" ht="21.6" customHeight="1">
      <c r="A13" s="62" t="s">
        <v>38</v>
      </c>
      <c r="B13" s="54" t="s">
        <v>100</v>
      </c>
      <c r="C13" s="54"/>
      <c r="D13" s="382" t="str">
        <f>+'SHEET-3'!D14:E14</f>
        <v>Jan to Mar-22</v>
      </c>
      <c r="E13" s="382"/>
      <c r="F13" s="382" t="str">
        <f>+'SHEET-3'!F14:G14</f>
        <v>Jan to Mar-21</v>
      </c>
      <c r="G13" s="382"/>
      <c r="H13" s="404"/>
      <c r="I13" s="405"/>
    </row>
    <row r="14" spans="1:9" ht="21.6" customHeight="1">
      <c r="A14" s="64">
        <v>1</v>
      </c>
      <c r="B14" s="65" t="s">
        <v>4</v>
      </c>
      <c r="C14" s="66" t="s">
        <v>81</v>
      </c>
      <c r="D14" s="236">
        <v>2670</v>
      </c>
      <c r="E14" s="236">
        <v>2670</v>
      </c>
      <c r="F14" s="236">
        <v>2434</v>
      </c>
      <c r="G14" s="236">
        <f>F14</f>
        <v>2434</v>
      </c>
      <c r="H14" s="157">
        <f>(D14-F14)/F14</f>
        <v>9.6959737058340184E-2</v>
      </c>
      <c r="I14" s="158">
        <f>(E14-G14)/G14</f>
        <v>9.6959737058340184E-2</v>
      </c>
    </row>
    <row r="15" spans="1:9" ht="21.6" customHeight="1">
      <c r="A15" s="64">
        <v>2</v>
      </c>
      <c r="B15" s="65" t="s">
        <v>101</v>
      </c>
      <c r="C15" s="66" t="s">
        <v>81</v>
      </c>
      <c r="D15" s="236">
        <v>0</v>
      </c>
      <c r="E15" s="236">
        <v>0</v>
      </c>
      <c r="F15" s="236">
        <v>0</v>
      </c>
      <c r="G15" s="236">
        <v>0</v>
      </c>
      <c r="H15" s="191" t="e">
        <f t="shared" ref="H15:H25" si="0">(D15-F15)/F15</f>
        <v>#DIV/0!</v>
      </c>
      <c r="I15" s="192" t="e">
        <f t="shared" ref="I15:I25" si="1">(E15-G15)/G15</f>
        <v>#DIV/0!</v>
      </c>
    </row>
    <row r="16" spans="1:9" ht="21.6" customHeight="1">
      <c r="A16" s="64">
        <v>3</v>
      </c>
      <c r="B16" s="65" t="s">
        <v>7</v>
      </c>
      <c r="C16" s="66" t="s">
        <v>81</v>
      </c>
      <c r="D16" s="236">
        <v>0</v>
      </c>
      <c r="E16" s="236">
        <v>0</v>
      </c>
      <c r="F16" s="236">
        <v>0</v>
      </c>
      <c r="G16" s="236">
        <v>0</v>
      </c>
      <c r="H16" s="157">
        <v>0</v>
      </c>
      <c r="I16" s="158">
        <v>0</v>
      </c>
    </row>
    <row r="17" spans="1:14" ht="24" customHeight="1">
      <c r="A17" s="64">
        <v>4</v>
      </c>
      <c r="B17" s="65" t="s">
        <v>8</v>
      </c>
      <c r="C17" s="66" t="s">
        <v>81</v>
      </c>
      <c r="D17" s="236">
        <v>2670</v>
      </c>
      <c r="E17" s="236">
        <v>2670</v>
      </c>
      <c r="F17" s="236">
        <f>+SUM(F14:F16)</f>
        <v>2434</v>
      </c>
      <c r="G17" s="236">
        <f>+SUM(G14:G16)</f>
        <v>2434</v>
      </c>
      <c r="H17" s="157">
        <f t="shared" si="0"/>
        <v>9.6959737058340184E-2</v>
      </c>
      <c r="I17" s="158">
        <f t="shared" si="1"/>
        <v>9.6959737058340184E-2</v>
      </c>
    </row>
    <row r="18" spans="1:14" ht="21.6" customHeight="1">
      <c r="A18" s="64">
        <v>5</v>
      </c>
      <c r="B18" s="65" t="s">
        <v>2</v>
      </c>
      <c r="C18" s="66" t="s">
        <v>81</v>
      </c>
      <c r="D18" s="236">
        <v>2789510</v>
      </c>
      <c r="E18" s="236">
        <v>2789510</v>
      </c>
      <c r="F18" s="236">
        <v>2737827</v>
      </c>
      <c r="G18" s="236">
        <f>F18</f>
        <v>2737827</v>
      </c>
      <c r="H18" s="157">
        <f t="shared" si="0"/>
        <v>1.8877379761394711E-2</v>
      </c>
      <c r="I18" s="158">
        <f t="shared" si="1"/>
        <v>1.8877379761394711E-2</v>
      </c>
    </row>
    <row r="19" spans="1:14" ht="21.6" customHeight="1">
      <c r="A19" s="64">
        <v>6</v>
      </c>
      <c r="B19" s="65" t="s">
        <v>3</v>
      </c>
      <c r="C19" s="66" t="s">
        <v>81</v>
      </c>
      <c r="D19" s="248">
        <v>390026</v>
      </c>
      <c r="E19" s="248">
        <v>390026</v>
      </c>
      <c r="F19" s="413">
        <v>374589</v>
      </c>
      <c r="G19" s="413">
        <f>F19</f>
        <v>374589</v>
      </c>
      <c r="H19" s="416">
        <f t="shared" si="0"/>
        <v>4.1210500041378682E-2</v>
      </c>
      <c r="I19" s="407">
        <f t="shared" si="1"/>
        <v>4.1210500041378682E-2</v>
      </c>
      <c r="M19" s="67"/>
      <c r="N19" s="68"/>
    </row>
    <row r="20" spans="1:14" ht="21.6" customHeight="1">
      <c r="A20" s="64">
        <v>7</v>
      </c>
      <c r="B20" s="65" t="s">
        <v>1</v>
      </c>
      <c r="C20" s="66" t="s">
        <v>81</v>
      </c>
      <c r="D20" s="249"/>
      <c r="E20" s="249"/>
      <c r="F20" s="414"/>
      <c r="G20" s="414"/>
      <c r="H20" s="417"/>
      <c r="I20" s="408"/>
      <c r="M20" s="67"/>
      <c r="N20" s="68"/>
    </row>
    <row r="21" spans="1:14" ht="21.6" customHeight="1">
      <c r="A21" s="64">
        <v>8</v>
      </c>
      <c r="B21" s="65" t="s">
        <v>119</v>
      </c>
      <c r="C21" s="66" t="s">
        <v>81</v>
      </c>
      <c r="D21" s="236">
        <v>26155</v>
      </c>
      <c r="E21" s="236">
        <v>26155</v>
      </c>
      <c r="F21" s="236">
        <v>24829</v>
      </c>
      <c r="G21" s="236">
        <f>F21</f>
        <v>24829</v>
      </c>
      <c r="H21" s="157">
        <f t="shared" si="0"/>
        <v>5.3405292198638689E-2</v>
      </c>
      <c r="I21" s="158">
        <f t="shared" si="1"/>
        <v>5.3405292198638689E-2</v>
      </c>
      <c r="M21" s="67"/>
      <c r="N21" s="68"/>
    </row>
    <row r="22" spans="1:14" ht="24" customHeight="1">
      <c r="A22" s="64">
        <v>9</v>
      </c>
      <c r="B22" s="65" t="s">
        <v>10</v>
      </c>
      <c r="C22" s="66" t="s">
        <v>81</v>
      </c>
      <c r="D22" s="236">
        <v>3205691</v>
      </c>
      <c r="E22" s="236">
        <v>3205691</v>
      </c>
      <c r="F22" s="227">
        <f>+SUM(F18:F21)</f>
        <v>3137245</v>
      </c>
      <c r="G22" s="227">
        <f t="shared" ref="G22" si="2">F22</f>
        <v>3137245</v>
      </c>
      <c r="H22" s="157">
        <f t="shared" si="0"/>
        <v>2.1817231360636482E-2</v>
      </c>
      <c r="I22" s="158">
        <f t="shared" si="1"/>
        <v>2.1817231360636482E-2</v>
      </c>
    </row>
    <row r="23" spans="1:14" ht="21.6" customHeight="1">
      <c r="A23" s="64">
        <v>10</v>
      </c>
      <c r="B23" s="65" t="s">
        <v>5</v>
      </c>
      <c r="C23" s="66" t="s">
        <v>81</v>
      </c>
      <c r="D23" s="236">
        <v>201441</v>
      </c>
      <c r="E23" s="236">
        <v>201441</v>
      </c>
      <c r="F23" s="236">
        <f>187138+10</f>
        <v>187148</v>
      </c>
      <c r="G23" s="236">
        <f>F23</f>
        <v>187148</v>
      </c>
      <c r="H23" s="157">
        <f t="shared" si="0"/>
        <v>7.6372710368264693E-2</v>
      </c>
      <c r="I23" s="158">
        <f t="shared" si="1"/>
        <v>7.6372710368264693E-2</v>
      </c>
      <c r="M23" s="67"/>
      <c r="N23" s="68"/>
    </row>
    <row r="24" spans="1:14" ht="24" customHeight="1">
      <c r="A24" s="64">
        <v>11</v>
      </c>
      <c r="B24" s="65" t="s">
        <v>11</v>
      </c>
      <c r="C24" s="66" t="s">
        <v>81</v>
      </c>
      <c r="D24" s="236">
        <v>3407132</v>
      </c>
      <c r="E24" s="236">
        <v>3407132</v>
      </c>
      <c r="F24" s="227">
        <f>+F22+F23</f>
        <v>3324393</v>
      </c>
      <c r="G24" s="227">
        <f t="shared" ref="G24:G25" si="3">F24</f>
        <v>3324393</v>
      </c>
      <c r="H24" s="157">
        <f t="shared" si="0"/>
        <v>2.4888453320651319E-2</v>
      </c>
      <c r="I24" s="158">
        <f t="shared" si="1"/>
        <v>2.4888453320651319E-2</v>
      </c>
      <c r="M24" s="67"/>
      <c r="N24" s="68"/>
    </row>
    <row r="25" spans="1:14" ht="31.5" customHeight="1" thickBot="1">
      <c r="A25" s="69">
        <v>12</v>
      </c>
      <c r="B25" s="70" t="s">
        <v>104</v>
      </c>
      <c r="C25" s="71" t="s">
        <v>81</v>
      </c>
      <c r="D25" s="219">
        <v>3409802</v>
      </c>
      <c r="E25" s="219">
        <v>3409802</v>
      </c>
      <c r="F25" s="219">
        <f>+F17+F24</f>
        <v>3326827</v>
      </c>
      <c r="G25" s="219">
        <f t="shared" si="3"/>
        <v>3326827</v>
      </c>
      <c r="H25" s="159">
        <f t="shared" si="0"/>
        <v>2.4941182694501397E-2</v>
      </c>
      <c r="I25" s="160">
        <f t="shared" si="1"/>
        <v>2.4941182694501397E-2</v>
      </c>
      <c r="M25" s="67"/>
      <c r="N25" s="68"/>
    </row>
    <row r="26" spans="1:14" ht="12" customHeight="1">
      <c r="A26" s="114"/>
      <c r="B26" s="115"/>
      <c r="C26" s="116"/>
      <c r="D26" s="117"/>
      <c r="E26" s="117"/>
      <c r="F26" s="117"/>
      <c r="G26" s="117"/>
      <c r="H26" s="155"/>
      <c r="I26" s="156"/>
    </row>
    <row r="27" spans="1:14" ht="28.5" customHeight="1">
      <c r="A27" s="118" t="s">
        <v>6</v>
      </c>
      <c r="B27" s="112" t="s">
        <v>44</v>
      </c>
      <c r="C27" s="116"/>
      <c r="D27" s="117"/>
      <c r="E27" s="117"/>
      <c r="F27" s="117"/>
      <c r="G27" s="117"/>
      <c r="H27" s="155"/>
      <c r="I27" s="156"/>
    </row>
    <row r="28" spans="1:14" ht="12" customHeight="1" thickBot="1">
      <c r="A28" s="114"/>
      <c r="B28" s="115"/>
      <c r="C28" s="116"/>
      <c r="D28" s="117"/>
      <c r="E28" s="117"/>
      <c r="F28" s="117"/>
      <c r="G28" s="117"/>
      <c r="H28" s="155"/>
      <c r="I28" s="156"/>
    </row>
    <row r="29" spans="1:14" ht="21.6" customHeight="1">
      <c r="A29" s="76">
        <v>1</v>
      </c>
      <c r="B29" s="77" t="s">
        <v>4</v>
      </c>
      <c r="C29" s="119" t="s">
        <v>23</v>
      </c>
      <c r="D29" s="240">
        <f>+E29-3817.368</f>
        <v>1406.5040000000004</v>
      </c>
      <c r="E29" s="240">
        <v>5223.8720000000003</v>
      </c>
      <c r="F29" s="240">
        <f>+G29-2430.687</f>
        <v>1303.3250000000003</v>
      </c>
      <c r="G29" s="240">
        <v>3734.0120000000002</v>
      </c>
      <c r="H29" s="183">
        <f>(D29-F29)/F29</f>
        <v>7.9165979322118482E-2</v>
      </c>
      <c r="I29" s="184">
        <f>(E29-G29)/G29</f>
        <v>0.39899711088234319</v>
      </c>
    </row>
    <row r="30" spans="1:14" ht="21.6" customHeight="1">
      <c r="A30" s="64">
        <v>2</v>
      </c>
      <c r="B30" s="65" t="s">
        <v>101</v>
      </c>
      <c r="C30" s="66" t="s">
        <v>23</v>
      </c>
      <c r="D30" s="241">
        <v>0</v>
      </c>
      <c r="E30" s="241">
        <f>+D30</f>
        <v>0</v>
      </c>
      <c r="F30" s="241">
        <v>0</v>
      </c>
      <c r="G30" s="241">
        <f>+F30</f>
        <v>0</v>
      </c>
      <c r="H30" s="191" t="e">
        <f t="shared" ref="H30:H40" si="4">(D30-F30)/F30</f>
        <v>#DIV/0!</v>
      </c>
      <c r="I30" s="192" t="e">
        <f t="shared" ref="I30:I40" si="5">(E30-G30)/G30</f>
        <v>#DIV/0!</v>
      </c>
    </row>
    <row r="31" spans="1:14" ht="21.6" customHeight="1">
      <c r="A31" s="64">
        <v>3</v>
      </c>
      <c r="B31" s="65" t="s">
        <v>7</v>
      </c>
      <c r="C31" s="66" t="s">
        <v>23</v>
      </c>
      <c r="D31" s="241">
        <v>0</v>
      </c>
      <c r="E31" s="241">
        <v>0</v>
      </c>
      <c r="F31" s="241">
        <v>0</v>
      </c>
      <c r="G31" s="241">
        <v>0</v>
      </c>
      <c r="H31" s="157">
        <v>0</v>
      </c>
      <c r="I31" s="158">
        <v>0</v>
      </c>
    </row>
    <row r="32" spans="1:14" ht="24" customHeight="1">
      <c r="A32" s="64">
        <v>4</v>
      </c>
      <c r="B32" s="65" t="s">
        <v>8</v>
      </c>
      <c r="C32" s="66" t="s">
        <v>23</v>
      </c>
      <c r="D32" s="241">
        <f>D29+D30</f>
        <v>1406.5040000000004</v>
      </c>
      <c r="E32" s="241">
        <f>E29+E30</f>
        <v>5223.8720000000003</v>
      </c>
      <c r="F32" s="241">
        <f>F29+F30</f>
        <v>1303.3250000000003</v>
      </c>
      <c r="G32" s="241">
        <f>G29+G30</f>
        <v>3734.0120000000002</v>
      </c>
      <c r="H32" s="157">
        <f t="shared" si="4"/>
        <v>7.9165979322118482E-2</v>
      </c>
      <c r="I32" s="158">
        <f t="shared" si="5"/>
        <v>0.39899711088234319</v>
      </c>
      <c r="M32" s="67"/>
      <c r="N32" s="68"/>
    </row>
    <row r="33" spans="1:14" ht="21.6" customHeight="1">
      <c r="A33" s="64">
        <v>5</v>
      </c>
      <c r="B33" s="65" t="s">
        <v>2</v>
      </c>
      <c r="C33" s="66" t="s">
        <v>23</v>
      </c>
      <c r="D33" s="241">
        <f>+E33-2257.549</f>
        <v>485.94200000000001</v>
      </c>
      <c r="E33" s="241">
        <v>2743.491</v>
      </c>
      <c r="F33" s="241">
        <f>+G33-2392.41</f>
        <v>537.24200000000019</v>
      </c>
      <c r="G33" s="241">
        <v>2929.652</v>
      </c>
      <c r="H33" s="157">
        <f t="shared" si="4"/>
        <v>-9.5487694558504671E-2</v>
      </c>
      <c r="I33" s="158">
        <f t="shared" si="5"/>
        <v>-6.3543724647159475E-2</v>
      </c>
      <c r="M33" s="67"/>
      <c r="N33" s="68"/>
    </row>
    <row r="34" spans="1:14" ht="21.6" customHeight="1">
      <c r="A34" s="64">
        <v>6</v>
      </c>
      <c r="B34" s="65" t="s">
        <v>3</v>
      </c>
      <c r="C34" s="66" t="s">
        <v>23</v>
      </c>
      <c r="D34" s="409">
        <f>+E34-1378.409</f>
        <v>430.62899999999991</v>
      </c>
      <c r="E34" s="409">
        <v>1809.038</v>
      </c>
      <c r="F34" s="409">
        <f>+G34-1170.735</f>
        <v>387.55400000000009</v>
      </c>
      <c r="G34" s="409">
        <v>1558.289</v>
      </c>
      <c r="H34" s="411">
        <f t="shared" si="4"/>
        <v>0.11114580161732251</v>
      </c>
      <c r="I34" s="407">
        <f t="shared" si="5"/>
        <v>0.16091302704440577</v>
      </c>
      <c r="M34" s="67"/>
      <c r="N34" s="68"/>
    </row>
    <row r="35" spans="1:14" ht="21.6" customHeight="1">
      <c r="A35" s="64">
        <v>7</v>
      </c>
      <c r="B35" s="65" t="s">
        <v>1</v>
      </c>
      <c r="C35" s="66" t="s">
        <v>23</v>
      </c>
      <c r="D35" s="410"/>
      <c r="E35" s="410"/>
      <c r="F35" s="410"/>
      <c r="G35" s="410"/>
      <c r="H35" s="412"/>
      <c r="I35" s="408"/>
    </row>
    <row r="36" spans="1:14" ht="21.6" customHeight="1">
      <c r="A36" s="64">
        <v>8</v>
      </c>
      <c r="B36" s="65" t="s">
        <v>119</v>
      </c>
      <c r="C36" s="66" t="s">
        <v>23</v>
      </c>
      <c r="D36" s="241">
        <f>+E36-282.788</f>
        <v>100.358</v>
      </c>
      <c r="E36" s="241">
        <v>383.14600000000002</v>
      </c>
      <c r="F36" s="241">
        <f>+G36-253.49</f>
        <v>100.08199999999999</v>
      </c>
      <c r="G36" s="241">
        <v>353.572</v>
      </c>
      <c r="H36" s="157">
        <f t="shared" si="4"/>
        <v>2.7577386543035758E-3</v>
      </c>
      <c r="I36" s="158">
        <f t="shared" si="5"/>
        <v>8.3643501182220345E-2</v>
      </c>
    </row>
    <row r="37" spans="1:14" ht="24" customHeight="1">
      <c r="A37" s="64">
        <v>9</v>
      </c>
      <c r="B37" s="65" t="s">
        <v>10</v>
      </c>
      <c r="C37" s="66" t="s">
        <v>23</v>
      </c>
      <c r="D37" s="241">
        <f>SUM(D33:D36)</f>
        <v>1016.9289999999999</v>
      </c>
      <c r="E37" s="241">
        <f>SUM(E33:E36)</f>
        <v>4935.6750000000002</v>
      </c>
      <c r="F37" s="241">
        <f>SUM(F33:F36)</f>
        <v>1024.8780000000002</v>
      </c>
      <c r="G37" s="241">
        <f>SUM(G33:G36)</f>
        <v>4841.5129999999999</v>
      </c>
      <c r="H37" s="157">
        <f t="shared" si="4"/>
        <v>-7.756045109759694E-3</v>
      </c>
      <c r="I37" s="158">
        <f t="shared" si="5"/>
        <v>1.9448878893849973E-2</v>
      </c>
      <c r="M37" s="67"/>
      <c r="N37" s="68"/>
    </row>
    <row r="38" spans="1:14" ht="21.6" customHeight="1">
      <c r="A38" s="64">
        <v>10</v>
      </c>
      <c r="B38" s="65" t="s">
        <v>102</v>
      </c>
      <c r="C38" s="66" t="s">
        <v>23</v>
      </c>
      <c r="D38" s="241">
        <f>+E38-853.907</f>
        <v>444.64600000000007</v>
      </c>
      <c r="E38" s="241">
        <v>1298.5530000000001</v>
      </c>
      <c r="F38" s="241">
        <f>+G38-965.016</f>
        <v>415.15300000000013</v>
      </c>
      <c r="G38" s="241">
        <v>1380.1690000000001</v>
      </c>
      <c r="H38" s="157">
        <f t="shared" si="4"/>
        <v>7.1041278757469961E-2</v>
      </c>
      <c r="I38" s="158">
        <f t="shared" si="5"/>
        <v>-5.9134787116650191E-2</v>
      </c>
      <c r="M38" s="67"/>
      <c r="N38" s="68"/>
    </row>
    <row r="39" spans="1:14" ht="24" customHeight="1">
      <c r="A39" s="64">
        <v>11</v>
      </c>
      <c r="B39" s="65" t="s">
        <v>11</v>
      </c>
      <c r="C39" s="66" t="s">
        <v>23</v>
      </c>
      <c r="D39" s="241">
        <f>SUM(D37:D38)</f>
        <v>1461.5749999999998</v>
      </c>
      <c r="E39" s="241">
        <f>SUM(E37:E38)</f>
        <v>6234.2280000000001</v>
      </c>
      <c r="F39" s="241">
        <f>SUM(F37:F38)</f>
        <v>1440.0310000000004</v>
      </c>
      <c r="G39" s="241">
        <f>SUM(G37:G38)</f>
        <v>6221.6819999999998</v>
      </c>
      <c r="H39" s="157">
        <f t="shared" si="4"/>
        <v>1.4960789038568898E-2</v>
      </c>
      <c r="I39" s="158">
        <f t="shared" si="5"/>
        <v>2.0164965036786318E-3</v>
      </c>
      <c r="M39" s="67"/>
      <c r="N39" s="68"/>
    </row>
    <row r="40" spans="1:14" ht="31.5" customHeight="1" thickBot="1">
      <c r="A40" s="69">
        <v>12</v>
      </c>
      <c r="B40" s="70" t="s">
        <v>12</v>
      </c>
      <c r="C40" s="71" t="s">
        <v>23</v>
      </c>
      <c r="D40" s="242">
        <f>D32+D39</f>
        <v>2868.0790000000002</v>
      </c>
      <c r="E40" s="242">
        <f>E32+E39</f>
        <v>11458.1</v>
      </c>
      <c r="F40" s="242">
        <f>F32+F39</f>
        <v>2743.3560000000007</v>
      </c>
      <c r="G40" s="242">
        <f>G32+G39</f>
        <v>9955.6939999999995</v>
      </c>
      <c r="H40" s="159">
        <f t="shared" si="4"/>
        <v>4.5463658380465191E-2</v>
      </c>
      <c r="I40" s="160">
        <f t="shared" si="5"/>
        <v>0.15090921838296767</v>
      </c>
    </row>
    <row r="41" spans="1:14">
      <c r="D41" s="136"/>
      <c r="E41" s="136"/>
      <c r="H41" s="136"/>
      <c r="I41" s="136"/>
    </row>
    <row r="43" spans="1:14" ht="12.75" customHeight="1">
      <c r="A43" s="388"/>
      <c r="B43" s="388"/>
    </row>
    <row r="52" spans="4:6" ht="23.25">
      <c r="D52" s="120">
        <v>1639.71</v>
      </c>
      <c r="E52" s="120">
        <v>5096.3599999999997</v>
      </c>
    </row>
    <row r="57" spans="4:6" ht="26.25">
      <c r="D57" s="83">
        <v>335.74</v>
      </c>
      <c r="E57" s="83">
        <v>335.74</v>
      </c>
      <c r="F57" s="121">
        <f>D40-D52</f>
        <v>1228.3690000000001</v>
      </c>
    </row>
    <row r="58" spans="4:6" ht="26.25">
      <c r="D58" s="83">
        <v>346.72</v>
      </c>
      <c r="E58" s="83">
        <v>346.72</v>
      </c>
      <c r="F58" s="121">
        <f>E40-E52</f>
        <v>6361.7400000000007</v>
      </c>
    </row>
    <row r="59" spans="4:6" ht="26.25">
      <c r="D59" s="83">
        <f>SUM(D57:D58)</f>
        <v>682.46</v>
      </c>
      <c r="E59" s="83">
        <f>SUM(E57:E58)</f>
        <v>682.46</v>
      </c>
    </row>
    <row r="64" spans="4:6" ht="20.100000000000001" customHeight="1">
      <c r="D64" s="122" t="s">
        <v>219</v>
      </c>
      <c r="E64" s="122" t="s">
        <v>220</v>
      </c>
    </row>
    <row r="65" spans="3:6" ht="20.100000000000001" customHeight="1">
      <c r="C65" s="123" t="s">
        <v>221</v>
      </c>
      <c r="D65" s="124">
        <v>153.19999999999999</v>
      </c>
      <c r="E65" s="124">
        <v>171.66</v>
      </c>
      <c r="F65" s="125">
        <f>(D65-E65)/E65</f>
        <v>-0.1075381568216242</v>
      </c>
    </row>
    <row r="66" spans="3:6" ht="20.100000000000001" customHeight="1">
      <c r="C66" s="123" t="s">
        <v>222</v>
      </c>
      <c r="D66" s="124">
        <v>136.37</v>
      </c>
      <c r="E66" s="124">
        <v>136.62</v>
      </c>
      <c r="F66" s="125">
        <f>(D66-E66)/E66</f>
        <v>-1.8298931342409603E-3</v>
      </c>
    </row>
    <row r="67" spans="3:6" ht="20.100000000000001" customHeight="1">
      <c r="C67" s="123"/>
      <c r="D67" s="124">
        <f>SUM(D65:D66)</f>
        <v>289.57</v>
      </c>
      <c r="E67" s="124">
        <f>SUM(E65:E66)</f>
        <v>308.27999999999997</v>
      </c>
      <c r="F67" s="125">
        <f>(D67-E67)/E67</f>
        <v>-6.0691579083949593E-2</v>
      </c>
    </row>
    <row r="68" spans="3:6" ht="20.100000000000001" customHeight="1"/>
  </sheetData>
  <mergeCells count="21">
    <mergeCell ref="A5:I5"/>
    <mergeCell ref="I19:I20"/>
    <mergeCell ref="D34:D35"/>
    <mergeCell ref="E34:E35"/>
    <mergeCell ref="H34:H35"/>
    <mergeCell ref="I34:I35"/>
    <mergeCell ref="G34:G35"/>
    <mergeCell ref="F19:F20"/>
    <mergeCell ref="G19:G20"/>
    <mergeCell ref="A9:I9"/>
    <mergeCell ref="A7:I7"/>
    <mergeCell ref="F34:F35"/>
    <mergeCell ref="H19:H20"/>
    <mergeCell ref="F11:G11"/>
    <mergeCell ref="F13:G13"/>
    <mergeCell ref="A43:B43"/>
    <mergeCell ref="H11:I11"/>
    <mergeCell ref="H12:H13"/>
    <mergeCell ref="I12:I13"/>
    <mergeCell ref="D13:E13"/>
    <mergeCell ref="D11:E11"/>
  </mergeCells>
  <phoneticPr fontId="2" type="noConversion"/>
  <printOptions horizontalCentered="1" verticalCentered="1"/>
  <pageMargins left="0.25" right="0.25" top="0.67500000000000004" bottom="0.25" header="0.5" footer="0.5"/>
  <pageSetup scale="56" orientation="landscape" verticalDpi="300" r:id="rId1"/>
  <headerFooter alignWithMargins="0"/>
</worksheet>
</file>

<file path=xl/worksheets/sheet5.xml><?xml version="1.0" encoding="utf-8"?>
<worksheet xmlns="http://schemas.openxmlformats.org/spreadsheetml/2006/main" xmlns:r="http://schemas.openxmlformats.org/officeDocument/2006/relationships">
  <sheetPr>
    <tabColor rgb="FFFFC000"/>
  </sheetPr>
  <dimension ref="A2:R57"/>
  <sheetViews>
    <sheetView view="pageBreakPreview" topLeftCell="A16" zoomScale="60" zoomScaleNormal="50" workbookViewId="0">
      <selection activeCell="E36" sqref="E36"/>
    </sheetView>
  </sheetViews>
  <sheetFormatPr defaultRowHeight="12.75"/>
  <cols>
    <col min="1" max="1" width="8" style="58" customWidth="1"/>
    <col min="2" max="2" width="80.140625" style="58" customWidth="1"/>
    <col min="3" max="3" width="23.28515625" style="58" customWidth="1"/>
    <col min="4" max="4" width="22.42578125" style="58" customWidth="1"/>
    <col min="5" max="5" width="23.28515625" style="58" customWidth="1"/>
    <col min="6" max="6" width="23.85546875" style="58" customWidth="1"/>
    <col min="7" max="7" width="23.42578125" style="58" customWidth="1"/>
    <col min="8" max="8" width="19.28515625" style="58" bestFit="1" customWidth="1"/>
    <col min="9" max="9" width="21" style="58" customWidth="1"/>
    <col min="10" max="10" width="12.5703125" style="58" bestFit="1" customWidth="1"/>
    <col min="11" max="11" width="17.85546875" style="58" bestFit="1" customWidth="1"/>
    <col min="12" max="12" width="14.7109375" style="58" bestFit="1" customWidth="1"/>
    <col min="13" max="13" width="9.140625" style="58"/>
    <col min="14" max="14" width="27.42578125" style="58" customWidth="1"/>
    <col min="15" max="15" width="24.5703125" style="58" customWidth="1"/>
    <col min="16" max="16" width="33.7109375" style="58" bestFit="1" customWidth="1"/>
    <col min="17" max="17" width="9.140625" style="58"/>
    <col min="18" max="18" width="33.42578125" style="58" customWidth="1"/>
    <col min="19" max="16384" width="9.140625" style="58"/>
  </cols>
  <sheetData>
    <row r="2" spans="1:13" ht="33">
      <c r="I2" s="59" t="s">
        <v>22</v>
      </c>
    </row>
    <row r="5" spans="1:13" ht="30">
      <c r="A5" s="406" t="s">
        <v>0</v>
      </c>
      <c r="B5" s="406"/>
      <c r="C5" s="406"/>
      <c r="D5" s="406"/>
      <c r="E5" s="406"/>
      <c r="F5" s="406"/>
      <c r="G5" s="406"/>
      <c r="H5" s="406"/>
      <c r="I5" s="406"/>
    </row>
    <row r="7" spans="1:13" ht="27.75">
      <c r="A7" s="415" t="s">
        <v>20</v>
      </c>
      <c r="B7" s="415"/>
      <c r="C7" s="415"/>
      <c r="D7" s="415"/>
      <c r="E7" s="415"/>
      <c r="F7" s="415"/>
      <c r="G7" s="415"/>
      <c r="H7" s="415"/>
      <c r="I7" s="415"/>
      <c r="J7" s="231"/>
      <c r="K7" s="231"/>
      <c r="L7" s="230"/>
      <c r="M7" s="123"/>
    </row>
    <row r="9" spans="1:13" ht="27.75">
      <c r="A9" s="415" t="s">
        <v>19</v>
      </c>
      <c r="B9" s="415"/>
      <c r="C9" s="415"/>
      <c r="D9" s="415"/>
      <c r="E9" s="415"/>
      <c r="F9" s="415"/>
      <c r="G9" s="415"/>
      <c r="H9" s="415"/>
      <c r="I9" s="415"/>
    </row>
    <row r="10" spans="1:13" ht="13.5" thickBot="1"/>
    <row r="11" spans="1:13" ht="21.6" customHeight="1">
      <c r="A11" s="60"/>
      <c r="B11" s="61"/>
      <c r="C11" s="61"/>
      <c r="D11" s="402" t="s">
        <v>16</v>
      </c>
      <c r="E11" s="402"/>
      <c r="F11" s="402" t="s">
        <v>83</v>
      </c>
      <c r="G11" s="402"/>
      <c r="H11" s="402" t="s">
        <v>17</v>
      </c>
      <c r="I11" s="403"/>
    </row>
    <row r="12" spans="1:13" ht="21.6" customHeight="1">
      <c r="A12" s="62"/>
      <c r="B12" s="54"/>
      <c r="C12" s="54"/>
      <c r="D12" s="54" t="s">
        <v>14</v>
      </c>
      <c r="E12" s="54" t="s">
        <v>15</v>
      </c>
      <c r="F12" s="54" t="s">
        <v>14</v>
      </c>
      <c r="G12" s="54" t="s">
        <v>15</v>
      </c>
      <c r="H12" s="404" t="s">
        <v>14</v>
      </c>
      <c r="I12" s="405" t="s">
        <v>15</v>
      </c>
    </row>
    <row r="13" spans="1:13" ht="21.6" customHeight="1">
      <c r="A13" s="62" t="s">
        <v>45</v>
      </c>
      <c r="B13" s="63" t="s">
        <v>121</v>
      </c>
      <c r="C13" s="54"/>
      <c r="D13" s="382" t="str">
        <f>+'SHEET-4'!D13:E13</f>
        <v>Jan to Mar-22</v>
      </c>
      <c r="E13" s="382"/>
      <c r="F13" s="382" t="str">
        <f>+'SHEET-4'!F13:G13</f>
        <v>Jan to Mar-21</v>
      </c>
      <c r="G13" s="382"/>
      <c r="H13" s="404"/>
      <c r="I13" s="405"/>
    </row>
    <row r="14" spans="1:13" ht="21.6" customHeight="1">
      <c r="A14" s="64">
        <v>1</v>
      </c>
      <c r="B14" s="65" t="s">
        <v>4</v>
      </c>
      <c r="C14" s="66" t="s">
        <v>13</v>
      </c>
      <c r="D14" s="169">
        <f>+E14-2560.89</f>
        <v>1032.67</v>
      </c>
      <c r="E14" s="169">
        <v>3593.56</v>
      </c>
      <c r="F14" s="239">
        <f>+G14-1930.45</f>
        <v>839.12999999999988</v>
      </c>
      <c r="G14" s="239">
        <v>2769.58</v>
      </c>
      <c r="H14" s="157">
        <f>(D14-F14)/F14</f>
        <v>0.23064364282054059</v>
      </c>
      <c r="I14" s="158">
        <f>(E14-G14)/G14</f>
        <v>0.29751081391402306</v>
      </c>
    </row>
    <row r="15" spans="1:13" ht="21.6" customHeight="1">
      <c r="A15" s="64">
        <v>2</v>
      </c>
      <c r="B15" s="65" t="s">
        <v>82</v>
      </c>
      <c r="C15" s="66" t="s">
        <v>13</v>
      </c>
      <c r="D15" s="169">
        <v>0</v>
      </c>
      <c r="E15" s="169">
        <v>0</v>
      </c>
      <c r="F15" s="234">
        <v>0</v>
      </c>
      <c r="G15" s="234">
        <v>0</v>
      </c>
      <c r="H15" s="191" t="e">
        <f t="shared" ref="H15:I25" si="0">(D15-F15)/F15</f>
        <v>#DIV/0!</v>
      </c>
      <c r="I15" s="192" t="e">
        <f t="shared" si="0"/>
        <v>#DIV/0!</v>
      </c>
    </row>
    <row r="16" spans="1:13" ht="21.6" customHeight="1">
      <c r="A16" s="64">
        <v>3</v>
      </c>
      <c r="B16" s="65" t="s">
        <v>7</v>
      </c>
      <c r="C16" s="66" t="s">
        <v>13</v>
      </c>
      <c r="D16" s="169">
        <v>0</v>
      </c>
      <c r="E16" s="169">
        <v>0</v>
      </c>
      <c r="F16" s="234">
        <v>0</v>
      </c>
      <c r="G16" s="234">
        <v>0</v>
      </c>
      <c r="H16" s="157">
        <v>0</v>
      </c>
      <c r="I16" s="158">
        <v>0</v>
      </c>
    </row>
    <row r="17" spans="1:18" ht="24" customHeight="1">
      <c r="A17" s="64">
        <v>4</v>
      </c>
      <c r="B17" s="65" t="s">
        <v>8</v>
      </c>
      <c r="C17" s="66" t="s">
        <v>13</v>
      </c>
      <c r="D17" s="169">
        <f>SUM(D14:D16)</f>
        <v>1032.67</v>
      </c>
      <c r="E17" s="169">
        <f>SUM(E14:E16)</f>
        <v>3593.56</v>
      </c>
      <c r="F17" s="234">
        <f>SUM(F14:F16)</f>
        <v>839.12999999999988</v>
      </c>
      <c r="G17" s="234">
        <f>SUM(G14:G16)</f>
        <v>2769.58</v>
      </c>
      <c r="H17" s="157">
        <f t="shared" si="0"/>
        <v>0.23064364282054059</v>
      </c>
      <c r="I17" s="158">
        <f t="shared" si="0"/>
        <v>0.29751081391402306</v>
      </c>
    </row>
    <row r="18" spans="1:18" ht="21.6" customHeight="1">
      <c r="A18" s="64">
        <v>5</v>
      </c>
      <c r="B18" s="65" t="s">
        <v>2</v>
      </c>
      <c r="C18" s="66" t="s">
        <v>13</v>
      </c>
      <c r="D18" s="239">
        <f>+E18-1257.91</f>
        <v>287.99</v>
      </c>
      <c r="E18" s="239">
        <v>1545.9</v>
      </c>
      <c r="F18" s="239">
        <f>+G18-1323.39</f>
        <v>290.1099999999999</v>
      </c>
      <c r="G18" s="239">
        <v>1613.5</v>
      </c>
      <c r="H18" s="157">
        <f t="shared" si="0"/>
        <v>-7.3075729895553119E-3</v>
      </c>
      <c r="I18" s="158">
        <f t="shared" si="0"/>
        <v>-4.1896498295630559E-2</v>
      </c>
      <c r="O18" s="67"/>
      <c r="P18" s="68"/>
    </row>
    <row r="19" spans="1:18" ht="21.6" customHeight="1">
      <c r="A19" s="64">
        <v>6</v>
      </c>
      <c r="B19" s="65" t="s">
        <v>3</v>
      </c>
      <c r="C19" s="66" t="s">
        <v>13</v>
      </c>
      <c r="D19" s="385">
        <f>+E19-1025.56</f>
        <v>348.98</v>
      </c>
      <c r="E19" s="385">
        <v>1374.54</v>
      </c>
      <c r="F19" s="385">
        <f>+G19-861.56</f>
        <v>266.74</v>
      </c>
      <c r="G19" s="385">
        <v>1128.3</v>
      </c>
      <c r="H19" s="416">
        <f t="shared" si="0"/>
        <v>0.30831521331633804</v>
      </c>
      <c r="I19" s="407">
        <f t="shared" si="0"/>
        <v>0.21823982983249138</v>
      </c>
      <c r="O19" s="67"/>
      <c r="P19" s="68"/>
    </row>
    <row r="20" spans="1:18" ht="21.6" customHeight="1">
      <c r="A20" s="64">
        <v>7</v>
      </c>
      <c r="B20" s="65" t="s">
        <v>1</v>
      </c>
      <c r="C20" s="66" t="s">
        <v>13</v>
      </c>
      <c r="D20" s="387"/>
      <c r="E20" s="387"/>
      <c r="F20" s="387"/>
      <c r="G20" s="387"/>
      <c r="H20" s="417"/>
      <c r="I20" s="408"/>
      <c r="O20" s="67"/>
      <c r="P20" s="68"/>
    </row>
    <row r="21" spans="1:18" ht="21.6" customHeight="1">
      <c r="A21" s="64">
        <v>8</v>
      </c>
      <c r="B21" s="65" t="s">
        <v>119</v>
      </c>
      <c r="C21" s="66" t="s">
        <v>13</v>
      </c>
      <c r="D21" s="239">
        <f>+E21-197.06</f>
        <v>54.94</v>
      </c>
      <c r="E21" s="239">
        <v>252</v>
      </c>
      <c r="F21" s="239">
        <f>+G21-151.99-30</f>
        <v>52.629999999999995</v>
      </c>
      <c r="G21" s="239">
        <v>234.62</v>
      </c>
      <c r="H21" s="157">
        <f t="shared" si="0"/>
        <v>4.389131673950223E-2</v>
      </c>
      <c r="I21" s="158">
        <f t="shared" si="0"/>
        <v>7.4077231267581603E-2</v>
      </c>
    </row>
    <row r="22" spans="1:18" ht="24" customHeight="1">
      <c r="A22" s="64">
        <v>9</v>
      </c>
      <c r="B22" s="65" t="s">
        <v>10</v>
      </c>
      <c r="C22" s="66" t="s">
        <v>13</v>
      </c>
      <c r="D22" s="169">
        <f>SUM(D18:D21)</f>
        <v>691.91000000000008</v>
      </c>
      <c r="E22" s="169">
        <f>SUM(E18:E21)</f>
        <v>3172.44</v>
      </c>
      <c r="F22" s="234">
        <f>SUM(F18:F21)</f>
        <v>609.4799999999999</v>
      </c>
      <c r="G22" s="234">
        <f>SUM(G18:G21)</f>
        <v>2976.42</v>
      </c>
      <c r="H22" s="157">
        <f t="shared" si="0"/>
        <v>0.13524643958784568</v>
      </c>
      <c r="I22" s="158">
        <f t="shared" si="0"/>
        <v>6.585764105872155E-2</v>
      </c>
      <c r="O22" s="67"/>
      <c r="P22" s="68"/>
    </row>
    <row r="23" spans="1:18" ht="21.6" customHeight="1">
      <c r="A23" s="64">
        <v>10</v>
      </c>
      <c r="B23" s="65" t="s">
        <v>108</v>
      </c>
      <c r="C23" s="66" t="s">
        <v>13</v>
      </c>
      <c r="D23" s="169">
        <f>+E23-380.86</f>
        <v>143.21000000000004</v>
      </c>
      <c r="E23" s="169">
        <v>524.07000000000005</v>
      </c>
      <c r="F23" s="239">
        <f>+G23-305.12</f>
        <v>120.46999999999997</v>
      </c>
      <c r="G23" s="239">
        <v>425.59</v>
      </c>
      <c r="H23" s="157">
        <f t="shared" si="0"/>
        <v>0.1887606873080441</v>
      </c>
      <c r="I23" s="158">
        <f t="shared" si="0"/>
        <v>0.23139641438943603</v>
      </c>
      <c r="O23" s="67"/>
      <c r="P23" s="68"/>
    </row>
    <row r="24" spans="1:18" ht="24" customHeight="1">
      <c r="A24" s="64">
        <v>11</v>
      </c>
      <c r="B24" s="65" t="s">
        <v>11</v>
      </c>
      <c r="C24" s="66" t="s">
        <v>13</v>
      </c>
      <c r="D24" s="169">
        <f>SUM(D22:D23)</f>
        <v>835.12000000000012</v>
      </c>
      <c r="E24" s="214">
        <f>SUM(E22:E23)</f>
        <v>3696.51</v>
      </c>
      <c r="F24" s="234">
        <f>SUM(F22:F23)</f>
        <v>729.94999999999982</v>
      </c>
      <c r="G24" s="234">
        <f>SUM(G22:G23)</f>
        <v>3402.01</v>
      </c>
      <c r="H24" s="157">
        <f t="shared" si="0"/>
        <v>0.14407836153161221</v>
      </c>
      <c r="I24" s="158">
        <f t="shared" si="0"/>
        <v>8.6566470998027625E-2</v>
      </c>
      <c r="O24" s="67"/>
      <c r="P24" s="68"/>
    </row>
    <row r="25" spans="1:18" ht="31.5" customHeight="1" thickBot="1">
      <c r="A25" s="69">
        <v>12</v>
      </c>
      <c r="B25" s="70" t="s">
        <v>12</v>
      </c>
      <c r="C25" s="71" t="s">
        <v>13</v>
      </c>
      <c r="D25" s="57">
        <f>D17+D24</f>
        <v>1867.7900000000002</v>
      </c>
      <c r="E25" s="57">
        <f>E17+E24</f>
        <v>7290.07</v>
      </c>
      <c r="F25" s="57">
        <f>F17+F24</f>
        <v>1569.0799999999997</v>
      </c>
      <c r="G25" s="57">
        <f>G17+G24</f>
        <v>6171.59</v>
      </c>
      <c r="H25" s="159">
        <f t="shared" si="0"/>
        <v>0.19037270247533622</v>
      </c>
      <c r="I25" s="160">
        <f t="shared" si="0"/>
        <v>0.18123044466660934</v>
      </c>
      <c r="K25" s="233"/>
    </row>
    <row r="26" spans="1:18" ht="15" customHeight="1">
      <c r="A26" s="55"/>
      <c r="B26" s="72"/>
      <c r="C26" s="73"/>
      <c r="D26" s="137"/>
      <c r="E26" s="137"/>
      <c r="F26" s="55"/>
      <c r="G26" s="55"/>
      <c r="H26" s="137"/>
      <c r="I26" s="137"/>
    </row>
    <row r="27" spans="1:18" ht="28.5" customHeight="1">
      <c r="A27" s="74" t="s">
        <v>46</v>
      </c>
      <c r="B27" s="75" t="s">
        <v>18</v>
      </c>
      <c r="C27" s="73"/>
      <c r="D27" s="55"/>
      <c r="E27" s="55"/>
      <c r="F27" s="55"/>
      <c r="G27" s="55"/>
      <c r="H27" s="137"/>
      <c r="I27" s="137"/>
    </row>
    <row r="28" spans="1:18" ht="15" customHeight="1" thickBot="1">
      <c r="A28" s="55"/>
      <c r="B28" s="72"/>
      <c r="C28" s="73"/>
      <c r="D28" s="55"/>
      <c r="E28" s="55"/>
      <c r="F28" s="55"/>
      <c r="G28" s="55"/>
      <c r="H28" s="137"/>
      <c r="I28" s="137"/>
    </row>
    <row r="29" spans="1:18" ht="21.6" customHeight="1">
      <c r="A29" s="76">
        <v>1</v>
      </c>
      <c r="B29" s="77" t="s">
        <v>4</v>
      </c>
      <c r="C29" s="78" t="s">
        <v>21</v>
      </c>
      <c r="D29" s="185">
        <f>D14/'SHEET-4'!D29*1000</f>
        <v>734.21049637967599</v>
      </c>
      <c r="E29" s="56">
        <f>E14/'SHEET-4'!E29*1000</f>
        <v>687.91118924812861</v>
      </c>
      <c r="F29" s="56">
        <f>F14/'SHEET-4'!F29*1000</f>
        <v>643.83787620125418</v>
      </c>
      <c r="G29" s="56">
        <f>G14/'SHEET-4'!G29*1000</f>
        <v>741.71695216833791</v>
      </c>
      <c r="H29" s="183">
        <f>(D29-F29)/F29</f>
        <v>0.14036549187139258</v>
      </c>
      <c r="I29" s="184">
        <f>(E29-G29)/G29</f>
        <v>-7.2542177663478438E-2</v>
      </c>
      <c r="N29" s="79">
        <f>(D14/'SHEET-4'!D29)*1000</f>
        <v>734.21049637967599</v>
      </c>
      <c r="O29" s="79">
        <f>(E14/'SHEET-4'!E29)*1000</f>
        <v>687.91118924812861</v>
      </c>
      <c r="P29" s="79">
        <f>(F14/'SHEET-4'!F29)*1000</f>
        <v>643.83787620125418</v>
      </c>
      <c r="Q29" s="79">
        <f>(G14/'SHEET-4'!G29)*1000</f>
        <v>741.71695216833791</v>
      </c>
      <c r="R29" s="80"/>
    </row>
    <row r="30" spans="1:18" ht="21.6" customHeight="1">
      <c r="A30" s="64">
        <v>2</v>
      </c>
      <c r="B30" s="65" t="s">
        <v>82</v>
      </c>
      <c r="C30" s="81" t="s">
        <v>21</v>
      </c>
      <c r="D30" s="150">
        <v>0</v>
      </c>
      <c r="E30" s="169">
        <v>0</v>
      </c>
      <c r="F30" s="198">
        <v>0</v>
      </c>
      <c r="G30" s="198">
        <v>0</v>
      </c>
      <c r="H30" s="191" t="e">
        <f t="shared" ref="H30:I40" si="1">(D30-F30)/F30</f>
        <v>#DIV/0!</v>
      </c>
      <c r="I30" s="192" t="e">
        <f t="shared" si="1"/>
        <v>#DIV/0!</v>
      </c>
      <c r="N30" s="79" t="e">
        <f>(D15/'SHEET-4'!D30)*1000</f>
        <v>#DIV/0!</v>
      </c>
      <c r="O30" s="79" t="e">
        <f>(E15/'SHEET-4'!E30)*1000</f>
        <v>#DIV/0!</v>
      </c>
      <c r="P30" s="79" t="e">
        <f>(F15/'SHEET-4'!F30)*1000</f>
        <v>#DIV/0!</v>
      </c>
      <c r="R30" s="80"/>
    </row>
    <row r="31" spans="1:18" ht="21.6" customHeight="1">
      <c r="A31" s="64">
        <v>3</v>
      </c>
      <c r="B31" s="65" t="s">
        <v>7</v>
      </c>
      <c r="C31" s="81" t="s">
        <v>21</v>
      </c>
      <c r="D31" s="150">
        <v>0</v>
      </c>
      <c r="E31" s="169">
        <v>0</v>
      </c>
      <c r="F31" s="198">
        <v>0</v>
      </c>
      <c r="G31" s="198">
        <f t="shared" ref="G31" si="2">F31</f>
        <v>0</v>
      </c>
      <c r="H31" s="157">
        <v>0</v>
      </c>
      <c r="I31" s="158">
        <v>0</v>
      </c>
      <c r="N31" s="79" t="e">
        <f>(D16/'SHEET-4'!D31)*1000</f>
        <v>#DIV/0!</v>
      </c>
      <c r="O31" s="79" t="e">
        <f>(E16/'SHEET-4'!E31)*1000</f>
        <v>#DIV/0!</v>
      </c>
      <c r="P31" s="79" t="e">
        <f>(F16/'SHEET-4'!F31)*1000</f>
        <v>#DIV/0!</v>
      </c>
      <c r="R31" s="80"/>
    </row>
    <row r="32" spans="1:18" ht="24" customHeight="1">
      <c r="A32" s="64">
        <v>4</v>
      </c>
      <c r="B32" s="65" t="s">
        <v>8</v>
      </c>
      <c r="C32" s="81" t="s">
        <v>21</v>
      </c>
      <c r="D32" s="150">
        <f>D17/'SHEET-4'!D32*1000</f>
        <v>734.21049637967599</v>
      </c>
      <c r="E32" s="150">
        <f>E17/'SHEET-4'!E32*1000</f>
        <v>687.91118924812861</v>
      </c>
      <c r="F32" s="197">
        <f>F17/'SHEET-4'!F32*1000</f>
        <v>643.83787620125418</v>
      </c>
      <c r="G32" s="197">
        <f>G17/'SHEET-4'!G32*1000</f>
        <v>741.71695216833791</v>
      </c>
      <c r="H32" s="157">
        <f t="shared" si="1"/>
        <v>0.14036549187139258</v>
      </c>
      <c r="I32" s="158">
        <f t="shared" si="1"/>
        <v>-7.2542177663478438E-2</v>
      </c>
      <c r="N32" s="79">
        <f>(D17/'SHEET-4'!D32)*1000</f>
        <v>734.21049637967599</v>
      </c>
      <c r="O32" s="79">
        <f>(E17/'SHEET-4'!E32)*1000</f>
        <v>687.91118924812861</v>
      </c>
      <c r="P32" s="79">
        <f>(F17/'SHEET-4'!F32)*1000</f>
        <v>643.83787620125418</v>
      </c>
      <c r="R32" s="80"/>
    </row>
    <row r="33" spans="1:18" ht="21.6" customHeight="1">
      <c r="A33" s="64">
        <v>5</v>
      </c>
      <c r="B33" s="65" t="s">
        <v>2</v>
      </c>
      <c r="C33" s="81" t="s">
        <v>21</v>
      </c>
      <c r="D33" s="150">
        <f>D18/'SHEET-4'!D33*1000</f>
        <v>592.6427433726659</v>
      </c>
      <c r="E33" s="169">
        <f>E18/'SHEET-4'!E33*1000</f>
        <v>563.47915848821822</v>
      </c>
      <c r="F33" s="198">
        <f>F18/'SHEET-4'!F33*1000</f>
        <v>539.99873427617308</v>
      </c>
      <c r="G33" s="202">
        <f>G18/'SHEET-4'!G33*1000</f>
        <v>550.748006930516</v>
      </c>
      <c r="H33" s="157">
        <f t="shared" si="1"/>
        <v>9.7489134242246103E-2</v>
      </c>
      <c r="I33" s="158">
        <f t="shared" si="1"/>
        <v>2.311611008573004E-2</v>
      </c>
      <c r="N33" s="79">
        <f>(D18/'SHEET-4'!D33)*1000</f>
        <v>592.6427433726659</v>
      </c>
      <c r="O33" s="79">
        <f>(E18/'SHEET-4'!E33)*1000</f>
        <v>563.47915848821822</v>
      </c>
      <c r="P33" s="79">
        <f>(F18/'SHEET-4'!F33)*1000</f>
        <v>539.99873427617308</v>
      </c>
      <c r="R33" s="80"/>
    </row>
    <row r="34" spans="1:18" ht="21.6" customHeight="1">
      <c r="A34" s="64">
        <v>6</v>
      </c>
      <c r="B34" s="65" t="s">
        <v>3</v>
      </c>
      <c r="C34" s="81" t="s">
        <v>21</v>
      </c>
      <c r="D34" s="418">
        <f>D19/'SHEET-4'!D34*1000</f>
        <v>810.39595568343066</v>
      </c>
      <c r="E34" s="419">
        <f>E19/'SHEET-4'!E34*1000</f>
        <v>759.81820171826132</v>
      </c>
      <c r="F34" s="385">
        <f>F19/'SHEET-4'!F34:F35*1000</f>
        <v>688.26537721194973</v>
      </c>
      <c r="G34" s="420">
        <f>G19/'SHEET-4'!G34*1000</f>
        <v>724.06337977101805</v>
      </c>
      <c r="H34" s="422">
        <f t="shared" si="1"/>
        <v>0.17744693037765738</v>
      </c>
      <c r="I34" s="423">
        <f t="shared" si="1"/>
        <v>4.9380790337098086E-2</v>
      </c>
      <c r="N34" s="79">
        <f>(D19/'SHEET-4'!D34)*1000</f>
        <v>810.39595568343066</v>
      </c>
      <c r="O34" s="79">
        <f>(E19/'SHEET-4'!E34)*1000</f>
        <v>759.81820171826132</v>
      </c>
      <c r="P34" s="79">
        <f>(F19/'SHEET-4'!F34)*1000</f>
        <v>688.26537721194973</v>
      </c>
      <c r="R34" s="80"/>
    </row>
    <row r="35" spans="1:18" ht="21.6" customHeight="1">
      <c r="A35" s="64">
        <v>7</v>
      </c>
      <c r="B35" s="65" t="s">
        <v>1</v>
      </c>
      <c r="C35" s="81" t="s">
        <v>21</v>
      </c>
      <c r="D35" s="418"/>
      <c r="E35" s="419"/>
      <c r="F35" s="387"/>
      <c r="G35" s="421"/>
      <c r="H35" s="422"/>
      <c r="I35" s="423"/>
      <c r="N35" s="79" t="e">
        <f>(D20/'SHEET-4'!D35)*1000</f>
        <v>#DIV/0!</v>
      </c>
      <c r="O35" s="79" t="e">
        <f>(E20/'SHEET-4'!E35)*1000</f>
        <v>#DIV/0!</v>
      </c>
      <c r="P35" s="79" t="e">
        <f>(F20/'SHEET-4'!F35)*1000</f>
        <v>#DIV/0!</v>
      </c>
      <c r="R35" s="80"/>
    </row>
    <row r="36" spans="1:18" ht="21.6" customHeight="1">
      <c r="A36" s="64">
        <v>8</v>
      </c>
      <c r="B36" s="65" t="s">
        <v>119</v>
      </c>
      <c r="C36" s="81" t="s">
        <v>21</v>
      </c>
      <c r="D36" s="150">
        <f>D21/'SHEET-4'!D36*1000</f>
        <v>547.44016421212064</v>
      </c>
      <c r="E36" s="169">
        <f>E21/'SHEET-4'!E36*1000</f>
        <v>657.71272569725386</v>
      </c>
      <c r="F36" s="198">
        <f>F21/'SHEET-4'!F36*1000</f>
        <v>525.86878759417277</v>
      </c>
      <c r="G36" s="202">
        <f>G21/'SHEET-4'!G36*1000</f>
        <v>663.5706447343116</v>
      </c>
      <c r="H36" s="157">
        <f t="shared" si="1"/>
        <v>4.1020454392503479E-2</v>
      </c>
      <c r="I36" s="158">
        <f t="shared" si="1"/>
        <v>-8.8278754998319803E-3</v>
      </c>
      <c r="N36" s="79">
        <f>(D21/'SHEET-4'!D36)*1000</f>
        <v>547.44016421212064</v>
      </c>
      <c r="O36" s="79">
        <f>(E21/'SHEET-4'!E36)*1000</f>
        <v>657.71272569725386</v>
      </c>
      <c r="P36" s="79">
        <f>(F21/'SHEET-4'!F36)*1000</f>
        <v>525.86878759417277</v>
      </c>
      <c r="R36" s="80"/>
    </row>
    <row r="37" spans="1:18" ht="24" customHeight="1">
      <c r="A37" s="64">
        <v>9</v>
      </c>
      <c r="B37" s="65" t="s">
        <v>10</v>
      </c>
      <c r="C37" s="81" t="s">
        <v>21</v>
      </c>
      <c r="D37" s="150">
        <f>D22/'SHEET-4'!D37*1000</f>
        <v>680.39164976119298</v>
      </c>
      <c r="E37" s="169">
        <f>E22/'SHEET-4'!E37*1000</f>
        <v>642.75706970171257</v>
      </c>
      <c r="F37" s="198">
        <f>F22/'SHEET-4'!F37*1000</f>
        <v>594.68541621539327</v>
      </c>
      <c r="G37" s="202">
        <f>G22/'SHEET-4'!G37*1000</f>
        <v>614.77063058593467</v>
      </c>
      <c r="H37" s="157">
        <f t="shared" si="1"/>
        <v>0.14412028815375752</v>
      </c>
      <c r="I37" s="158">
        <f t="shared" si="1"/>
        <v>4.5523383394395676E-2</v>
      </c>
      <c r="N37" s="79">
        <f>(D22/'SHEET-4'!D37)*1000</f>
        <v>680.39164976119298</v>
      </c>
      <c r="O37" s="79">
        <f>(E22/'SHEET-4'!E37)*1000</f>
        <v>642.75706970171257</v>
      </c>
      <c r="P37" s="79">
        <f>(F22/'SHEET-4'!F37)*1000</f>
        <v>594.68541621539327</v>
      </c>
      <c r="R37" s="80"/>
    </row>
    <row r="38" spans="1:18" ht="21.6" customHeight="1">
      <c r="A38" s="64">
        <v>10</v>
      </c>
      <c r="B38" s="65" t="s">
        <v>5</v>
      </c>
      <c r="C38" s="81" t="s">
        <v>21</v>
      </c>
      <c r="D38" s="150">
        <f>D23/'SHEET-4'!D38*1000</f>
        <v>322.07643833521496</v>
      </c>
      <c r="E38" s="169">
        <f>E23/'SHEET-4'!E38*1000</f>
        <v>403.57998479846412</v>
      </c>
      <c r="F38" s="218">
        <f>F23/'SHEET-4'!F38*1000</f>
        <v>290.18217380098406</v>
      </c>
      <c r="G38" s="202">
        <f>G23/'SHEET-4'!G38*1000</f>
        <v>308.36078770063665</v>
      </c>
      <c r="H38" s="157">
        <f t="shared" si="1"/>
        <v>0.10991117792130461</v>
      </c>
      <c r="I38" s="158">
        <f t="shared" si="1"/>
        <v>0.30879152244956753</v>
      </c>
      <c r="N38" s="79">
        <f>(D23/'SHEET-4'!D38)*1000</f>
        <v>322.07643833521496</v>
      </c>
      <c r="O38" s="79">
        <f>(E23/'SHEET-4'!E38)*1000</f>
        <v>403.57998479846412</v>
      </c>
      <c r="P38" s="79">
        <f>(F23/'SHEET-4'!F38)*1000</f>
        <v>290.18217380098406</v>
      </c>
      <c r="R38" s="80"/>
    </row>
    <row r="39" spans="1:18" ht="24" customHeight="1">
      <c r="A39" s="64">
        <v>11</v>
      </c>
      <c r="B39" s="65" t="s">
        <v>11</v>
      </c>
      <c r="C39" s="81" t="s">
        <v>21</v>
      </c>
      <c r="D39" s="150">
        <f>D24/'SHEET-4'!D39*1000</f>
        <v>571.38361014658858</v>
      </c>
      <c r="E39" s="169">
        <f>E24/'SHEET-4'!E39*1000</f>
        <v>592.93789062575195</v>
      </c>
      <c r="F39" s="198">
        <f>F24/'SHEET-4'!F39*1000</f>
        <v>506.8988098172884</v>
      </c>
      <c r="G39" s="202">
        <f>G24/'SHEET-4'!G39*1000</f>
        <v>546.79908102021295</v>
      </c>
      <c r="H39" s="157">
        <f t="shared" si="1"/>
        <v>0.12721434550722999</v>
      </c>
      <c r="I39" s="158">
        <f t="shared" si="1"/>
        <v>8.4379822876537405E-2</v>
      </c>
      <c r="N39" s="79">
        <f>(D24/'SHEET-4'!D39)*1000</f>
        <v>571.38361014658858</v>
      </c>
      <c r="O39" s="79">
        <f>(E24/'SHEET-4'!E39)*1000</f>
        <v>592.93789062575195</v>
      </c>
      <c r="P39" s="79">
        <f>(F24/'SHEET-4'!F39)*1000</f>
        <v>506.8988098172884</v>
      </c>
      <c r="R39" s="80"/>
    </row>
    <row r="40" spans="1:18" ht="31.5" customHeight="1" thickBot="1">
      <c r="A40" s="69">
        <v>12</v>
      </c>
      <c r="B40" s="70" t="s">
        <v>12</v>
      </c>
      <c r="C40" s="82" t="s">
        <v>21</v>
      </c>
      <c r="D40" s="186">
        <f>D25/'SHEET-4'!D40*1000</f>
        <v>651.23380492657282</v>
      </c>
      <c r="E40" s="57">
        <f>E25/'SHEET-4'!E40*1000</f>
        <v>636.23724701303013</v>
      </c>
      <c r="F40" s="57">
        <f>F25/'SHEET-4'!F40*1000</f>
        <v>571.95639209785361</v>
      </c>
      <c r="G40" s="202">
        <f>G25/'SHEET-4'!G40*1000</f>
        <v>619.90555354553885</v>
      </c>
      <c r="H40" s="159">
        <f t="shared" si="1"/>
        <v>0.1386074426722308</v>
      </c>
      <c r="I40" s="160">
        <f t="shared" si="1"/>
        <v>2.6345454358462261E-2</v>
      </c>
      <c r="N40" s="79">
        <f>(D25/'SHEET-4'!D40)*1000</f>
        <v>651.23380492657282</v>
      </c>
      <c r="O40" s="79">
        <f>(E25/'SHEET-4'!E40)*1000</f>
        <v>636.23724701303013</v>
      </c>
      <c r="P40" s="79">
        <f>(F25/'SHEET-4'!F40)*1000</f>
        <v>571.95639209785361</v>
      </c>
      <c r="R40" s="80"/>
    </row>
    <row r="41" spans="1:18" ht="23.25">
      <c r="P41" s="80"/>
    </row>
    <row r="42" spans="1:18" ht="23.25">
      <c r="P42" s="80"/>
    </row>
    <row r="43" spans="1:18" ht="12.75" customHeight="1">
      <c r="A43" s="388"/>
      <c r="B43" s="388"/>
      <c r="P43" s="80"/>
    </row>
    <row r="44" spans="1:18" ht="23.25">
      <c r="P44" s="80"/>
    </row>
    <row r="49" spans="4:6" ht="26.25">
      <c r="D49" s="83"/>
    </row>
    <row r="50" spans="4:6" ht="26.25">
      <c r="D50" s="83"/>
    </row>
    <row r="51" spans="4:6" ht="26.25">
      <c r="D51" s="84"/>
    </row>
    <row r="55" spans="4:6" ht="23.25">
      <c r="F55" s="68"/>
    </row>
    <row r="56" spans="4:6" ht="23.25">
      <c r="F56" s="68"/>
    </row>
    <row r="57" spans="4:6" ht="23.25">
      <c r="F57" s="68"/>
    </row>
  </sheetData>
  <mergeCells count="23">
    <mergeCell ref="A5:I5"/>
    <mergeCell ref="A7:I7"/>
    <mergeCell ref="A9:I9"/>
    <mergeCell ref="D11:E11"/>
    <mergeCell ref="F11:G11"/>
    <mergeCell ref="H11:I11"/>
    <mergeCell ref="H34:H35"/>
    <mergeCell ref="I34:I35"/>
    <mergeCell ref="H12:H13"/>
    <mergeCell ref="I12:I13"/>
    <mergeCell ref="D13:E13"/>
    <mergeCell ref="F13:G13"/>
    <mergeCell ref="D19:D20"/>
    <mergeCell ref="E19:E20"/>
    <mergeCell ref="F19:F20"/>
    <mergeCell ref="G19:G20"/>
    <mergeCell ref="H19:H20"/>
    <mergeCell ref="I19:I20"/>
    <mergeCell ref="A43:B43"/>
    <mergeCell ref="D34:D35"/>
    <mergeCell ref="E34:E35"/>
    <mergeCell ref="F34:F35"/>
    <mergeCell ref="G34:G35"/>
  </mergeCells>
  <printOptions horizontalCentered="1" verticalCentered="1"/>
  <pageMargins left="0.25" right="0.25" top="0.25" bottom="0.25" header="0.5" footer="0.5"/>
  <pageSetup paperSize="9" scale="58" orientation="landscape" verticalDpi="300" r:id="rId1"/>
  <headerFooter alignWithMargins="0"/>
</worksheet>
</file>

<file path=xl/worksheets/sheet6.xml><?xml version="1.0" encoding="utf-8"?>
<worksheet xmlns="http://schemas.openxmlformats.org/spreadsheetml/2006/main" xmlns:r="http://schemas.openxmlformats.org/officeDocument/2006/relationships">
  <sheetPr>
    <tabColor theme="6" tint="-0.249977111117893"/>
  </sheetPr>
  <dimension ref="A2:P76"/>
  <sheetViews>
    <sheetView view="pageBreakPreview" topLeftCell="A34" zoomScale="60" zoomScaleNormal="60" workbookViewId="0">
      <selection activeCell="G41" sqref="G41"/>
    </sheetView>
  </sheetViews>
  <sheetFormatPr defaultRowHeight="12.75"/>
  <cols>
    <col min="1" max="1" width="8" customWidth="1"/>
    <col min="2" max="2" width="65.85546875" customWidth="1"/>
    <col min="3" max="3" width="22" customWidth="1"/>
    <col min="4" max="4" width="24.7109375" customWidth="1"/>
    <col min="5" max="5" width="25.5703125" customWidth="1"/>
    <col min="6" max="6" width="24.140625" customWidth="1"/>
    <col min="7" max="7" width="25.5703125" customWidth="1"/>
    <col min="8" max="9" width="21.85546875" bestFit="1" customWidth="1"/>
    <col min="14" max="14" width="39.42578125" customWidth="1"/>
  </cols>
  <sheetData>
    <row r="2" spans="1:10" ht="30">
      <c r="I2" s="48" t="s">
        <v>226</v>
      </c>
    </row>
    <row r="5" spans="1:10" ht="30">
      <c r="A5" s="433" t="s">
        <v>0</v>
      </c>
      <c r="B5" s="433"/>
      <c r="C5" s="433"/>
      <c r="D5" s="433"/>
      <c r="E5" s="433"/>
      <c r="F5" s="433"/>
      <c r="G5" s="433"/>
      <c r="H5" s="433"/>
      <c r="I5" s="433"/>
      <c r="J5" s="5"/>
    </row>
    <row r="6" spans="1:10" ht="8.25" customHeight="1">
      <c r="A6" s="5"/>
      <c r="B6" s="5"/>
      <c r="C6" s="5"/>
      <c r="D6" s="5"/>
      <c r="E6" s="5"/>
      <c r="F6" s="5"/>
      <c r="G6" s="5"/>
      <c r="H6" s="5"/>
      <c r="I6" s="5"/>
      <c r="J6" s="5"/>
    </row>
    <row r="7" spans="1:10" ht="30">
      <c r="A7" s="435" t="s">
        <v>20</v>
      </c>
      <c r="B7" s="435"/>
      <c r="C7" s="435"/>
      <c r="D7" s="435"/>
      <c r="E7" s="435"/>
      <c r="F7" s="435"/>
      <c r="G7" s="435"/>
      <c r="H7" s="435"/>
      <c r="I7" s="435"/>
      <c r="J7" s="5"/>
    </row>
    <row r="8" spans="1:10" ht="8.25" customHeight="1">
      <c r="A8" s="5"/>
      <c r="B8" s="5"/>
      <c r="C8" s="5"/>
      <c r="D8" s="5"/>
      <c r="E8" s="5"/>
      <c r="F8" s="5"/>
      <c r="G8" s="5"/>
      <c r="H8" s="5"/>
      <c r="I8" s="5"/>
      <c r="J8" s="5"/>
    </row>
    <row r="9" spans="1:10" ht="27.75">
      <c r="A9" s="434" t="s">
        <v>40</v>
      </c>
      <c r="B9" s="434"/>
      <c r="C9" s="434"/>
      <c r="D9" s="434"/>
      <c r="E9" s="434"/>
      <c r="F9" s="434"/>
      <c r="G9" s="434"/>
      <c r="H9" s="434"/>
      <c r="I9" s="434"/>
      <c r="J9" s="5"/>
    </row>
    <row r="10" spans="1:10" ht="13.5" thickBot="1">
      <c r="A10" s="5"/>
      <c r="B10" s="5"/>
      <c r="C10" s="5"/>
      <c r="D10" s="5"/>
      <c r="E10" s="5"/>
      <c r="F10" s="5"/>
      <c r="G10" s="5"/>
      <c r="H10" s="5"/>
      <c r="I10" s="5"/>
      <c r="J10" s="5"/>
    </row>
    <row r="11" spans="1:10" ht="18">
      <c r="A11" s="12"/>
      <c r="B11" s="50"/>
      <c r="C11" s="50"/>
      <c r="D11" s="436" t="s">
        <v>16</v>
      </c>
      <c r="E11" s="436"/>
      <c r="F11" s="436" t="s">
        <v>66</v>
      </c>
      <c r="G11" s="436"/>
      <c r="H11" s="436" t="s">
        <v>17</v>
      </c>
      <c r="I11" s="437"/>
      <c r="J11" s="5"/>
    </row>
    <row r="12" spans="1:10" ht="18">
      <c r="A12" s="13"/>
      <c r="B12" s="51"/>
      <c r="C12" s="51"/>
      <c r="D12" s="51" t="s">
        <v>14</v>
      </c>
      <c r="E12" s="51" t="s">
        <v>15</v>
      </c>
      <c r="F12" s="51" t="s">
        <v>14</v>
      </c>
      <c r="G12" s="51" t="s">
        <v>15</v>
      </c>
      <c r="H12" s="424" t="s">
        <v>14</v>
      </c>
      <c r="I12" s="426" t="s">
        <v>15</v>
      </c>
      <c r="J12" s="5"/>
    </row>
    <row r="13" spans="1:10" ht="27" customHeight="1" thickBot="1">
      <c r="A13" s="15" t="s">
        <v>38</v>
      </c>
      <c r="B13" s="16" t="s">
        <v>39</v>
      </c>
      <c r="C13" s="1"/>
      <c r="D13" s="382" t="str">
        <f>+'SHEET-5'!D13:E13</f>
        <v>Jan to Mar-22</v>
      </c>
      <c r="E13" s="382"/>
      <c r="F13" s="382" t="str">
        <f>+'SHEET-5'!F13:G13</f>
        <v>Jan to Mar-21</v>
      </c>
      <c r="G13" s="382"/>
      <c r="H13" s="425"/>
      <c r="I13" s="427"/>
      <c r="J13" s="5"/>
    </row>
    <row r="14" spans="1:10" ht="23.25">
      <c r="A14" s="127">
        <v>1</v>
      </c>
      <c r="B14" s="128" t="s">
        <v>4</v>
      </c>
      <c r="C14" s="129" t="s">
        <v>35</v>
      </c>
      <c r="D14" s="252">
        <v>95.73</v>
      </c>
      <c r="E14" s="247">
        <v>93.34</v>
      </c>
      <c r="F14" s="244">
        <v>90.467110619991786</v>
      </c>
      <c r="G14" s="244">
        <v>90.127853338573814</v>
      </c>
      <c r="H14" s="146">
        <f>(D14-F14)/F14</f>
        <v>5.81746155474673E-2</v>
      </c>
      <c r="I14" s="147">
        <f>(E14-G14)/G14</f>
        <v>3.563988869633293E-2</v>
      </c>
      <c r="J14" s="5"/>
    </row>
    <row r="15" spans="1:10" ht="23.25">
      <c r="A15" s="13">
        <v>2</v>
      </c>
      <c r="B15" s="14" t="s">
        <v>82</v>
      </c>
      <c r="C15" s="26" t="s">
        <v>35</v>
      </c>
      <c r="D15" s="250">
        <v>0</v>
      </c>
      <c r="E15" s="247">
        <v>0</v>
      </c>
      <c r="F15" s="238">
        <v>0</v>
      </c>
      <c r="G15" s="238">
        <v>0</v>
      </c>
      <c r="H15" s="193" t="e">
        <f t="shared" ref="H15:H18" si="0">(D15-F15)/F15</f>
        <v>#DIV/0!</v>
      </c>
      <c r="I15" s="194" t="e">
        <f t="shared" ref="I15:I25" si="1">(E15-G15)/G15</f>
        <v>#DIV/0!</v>
      </c>
      <c r="J15" s="5"/>
    </row>
    <row r="16" spans="1:10" ht="23.25">
      <c r="A16" s="13">
        <v>3</v>
      </c>
      <c r="B16" s="14" t="s">
        <v>7</v>
      </c>
      <c r="C16" s="26" t="s">
        <v>35</v>
      </c>
      <c r="D16" s="250">
        <v>0</v>
      </c>
      <c r="E16" s="247">
        <v>0</v>
      </c>
      <c r="F16" s="238">
        <v>0</v>
      </c>
      <c r="G16" s="238">
        <v>0</v>
      </c>
      <c r="H16" s="146">
        <v>0</v>
      </c>
      <c r="I16" s="143">
        <v>0</v>
      </c>
      <c r="J16" s="5"/>
    </row>
    <row r="17" spans="1:16" ht="23.25">
      <c r="A17" s="13">
        <v>4</v>
      </c>
      <c r="B17" s="14" t="s">
        <v>8</v>
      </c>
      <c r="C17" s="26" t="s">
        <v>35</v>
      </c>
      <c r="D17" s="250">
        <v>95.73</v>
      </c>
      <c r="E17" s="250">
        <v>93.34</v>
      </c>
      <c r="F17" s="238">
        <f>SUM(F14:F16)</f>
        <v>90.467110619991786</v>
      </c>
      <c r="G17" s="238">
        <f>SUM(G14:G16)</f>
        <v>90.127853338573814</v>
      </c>
      <c r="H17" s="146">
        <f t="shared" si="0"/>
        <v>5.81746155474673E-2</v>
      </c>
      <c r="I17" s="143">
        <f t="shared" si="1"/>
        <v>3.563988869633293E-2</v>
      </c>
      <c r="J17" s="5"/>
    </row>
    <row r="18" spans="1:16" ht="23.25">
      <c r="A18" s="13">
        <v>5</v>
      </c>
      <c r="B18" s="14" t="s">
        <v>2</v>
      </c>
      <c r="C18" s="26" t="s">
        <v>35</v>
      </c>
      <c r="D18" s="220">
        <v>33.24</v>
      </c>
      <c r="E18" s="247">
        <v>20.02</v>
      </c>
      <c r="F18" s="220">
        <v>19.463115326442516</v>
      </c>
      <c r="G18" s="220">
        <v>16.533394326163865</v>
      </c>
      <c r="H18" s="146">
        <f t="shared" si="0"/>
        <v>0.70784581206484776</v>
      </c>
      <c r="I18" s="143">
        <f t="shared" si="1"/>
        <v>0.2108826297282845</v>
      </c>
      <c r="J18" s="5"/>
    </row>
    <row r="19" spans="1:16" ht="18" customHeight="1">
      <c r="A19" s="13">
        <v>6</v>
      </c>
      <c r="B19" s="14" t="s">
        <v>3</v>
      </c>
      <c r="C19" s="26" t="s">
        <v>35</v>
      </c>
      <c r="D19" s="251">
        <v>94.99</v>
      </c>
      <c r="E19" s="246">
        <v>85.29</v>
      </c>
      <c r="F19" s="431">
        <v>88.10097355100558</v>
      </c>
      <c r="G19" s="431">
        <v>82.907739056312707</v>
      </c>
      <c r="H19" s="430">
        <f t="shared" ref="H19" si="2">(D19-F19)/F19</f>
        <v>7.8194668813802035E-2</v>
      </c>
      <c r="I19" s="429">
        <f t="shared" si="1"/>
        <v>2.8733879017846777E-2</v>
      </c>
      <c r="J19" s="5"/>
    </row>
    <row r="20" spans="1:16" ht="18" customHeight="1">
      <c r="A20" s="13">
        <v>7</v>
      </c>
      <c r="B20" s="14" t="s">
        <v>1</v>
      </c>
      <c r="C20" s="26" t="s">
        <v>35</v>
      </c>
      <c r="D20" s="252"/>
      <c r="E20" s="247"/>
      <c r="F20" s="432"/>
      <c r="G20" s="432"/>
      <c r="H20" s="430"/>
      <c r="I20" s="429"/>
      <c r="J20" s="5"/>
      <c r="P20" s="2"/>
    </row>
    <row r="21" spans="1:16" ht="23.25">
      <c r="A21" s="13">
        <v>8</v>
      </c>
      <c r="B21" s="14" t="s">
        <v>9</v>
      </c>
      <c r="C21" s="26" t="s">
        <v>35</v>
      </c>
      <c r="D21" s="220">
        <v>3.54</v>
      </c>
      <c r="E21" s="247">
        <v>3.55</v>
      </c>
      <c r="F21" s="220">
        <v>3.7259051090157644</v>
      </c>
      <c r="G21" s="220">
        <v>3.565668933647038</v>
      </c>
      <c r="H21" s="146">
        <f t="shared" ref="H21:H25" si="3">(D21-F21)/F21</f>
        <v>-4.9895288145132909E-2</v>
      </c>
      <c r="I21" s="143">
        <f t="shared" si="1"/>
        <v>-4.39438824484797E-3</v>
      </c>
      <c r="J21" s="5"/>
    </row>
    <row r="22" spans="1:16" ht="23.25">
      <c r="A22" s="13">
        <v>9</v>
      </c>
      <c r="B22" s="14" t="s">
        <v>10</v>
      </c>
      <c r="C22" s="26" t="s">
        <v>35</v>
      </c>
      <c r="D22" s="250">
        <v>58.74</v>
      </c>
      <c r="E22" s="247">
        <v>42.72</v>
      </c>
      <c r="F22" s="238">
        <v>42.045386800855056</v>
      </c>
      <c r="G22" s="238">
        <v>35.667205762711241</v>
      </c>
      <c r="H22" s="146">
        <f t="shared" si="3"/>
        <v>0.39706171043728955</v>
      </c>
      <c r="I22" s="143">
        <f t="shared" si="1"/>
        <v>0.19773890571103264</v>
      </c>
      <c r="J22" s="5"/>
    </row>
    <row r="23" spans="1:16" ht="23.25">
      <c r="A23" s="13">
        <v>10</v>
      </c>
      <c r="B23" s="14" t="s">
        <v>5</v>
      </c>
      <c r="C23" s="26" t="s">
        <v>35</v>
      </c>
      <c r="D23" s="220">
        <v>35.21</v>
      </c>
      <c r="E23" s="247">
        <v>38.51</v>
      </c>
      <c r="F23" s="220">
        <v>37.494549910250541</v>
      </c>
      <c r="G23" s="220">
        <v>34.119945704913171</v>
      </c>
      <c r="H23" s="146">
        <f t="shared" si="3"/>
        <v>-6.0930186272911427E-2</v>
      </c>
      <c r="I23" s="143">
        <f t="shared" si="1"/>
        <v>0.1286653364883483</v>
      </c>
      <c r="J23" s="5"/>
    </row>
    <row r="24" spans="1:16" ht="23.25">
      <c r="A24" s="13">
        <v>11</v>
      </c>
      <c r="B24" s="14" t="s">
        <v>11</v>
      </c>
      <c r="C24" s="26" t="s">
        <v>35</v>
      </c>
      <c r="D24" s="250">
        <v>54.07</v>
      </c>
      <c r="E24" s="247">
        <v>42.12</v>
      </c>
      <c r="F24" s="238">
        <v>41.376825999530794</v>
      </c>
      <c r="G24" s="238">
        <v>35.446346657610988</v>
      </c>
      <c r="H24" s="146">
        <f t="shared" si="3"/>
        <v>0.30677012298171796</v>
      </c>
      <c r="I24" s="143">
        <f t="shared" si="1"/>
        <v>0.18827478630879022</v>
      </c>
      <c r="J24" s="5"/>
    </row>
    <row r="25" spans="1:16" ht="24" thickBot="1">
      <c r="A25" s="15">
        <v>12</v>
      </c>
      <c r="B25" s="16" t="s">
        <v>12</v>
      </c>
      <c r="C25" s="27" t="s">
        <v>35</v>
      </c>
      <c r="D25" s="243">
        <v>78.09</v>
      </c>
      <c r="E25" s="243">
        <v>68.78</v>
      </c>
      <c r="F25" s="243">
        <v>66.747163504738253</v>
      </c>
      <c r="G25" s="243">
        <v>60.632745301939508</v>
      </c>
      <c r="H25" s="146">
        <f t="shared" si="3"/>
        <v>0.16993735613134398</v>
      </c>
      <c r="I25" s="142">
        <f t="shared" si="1"/>
        <v>0.13437053950779762</v>
      </c>
      <c r="J25" s="5"/>
    </row>
    <row r="26" spans="1:16" ht="8.25" customHeight="1">
      <c r="A26" s="6"/>
      <c r="B26" s="7"/>
      <c r="C26" s="8"/>
      <c r="D26" s="206"/>
      <c r="E26" s="206"/>
      <c r="F26" s="206"/>
      <c r="G26" s="206"/>
      <c r="H26" s="10"/>
      <c r="I26" s="11"/>
      <c r="J26" s="5"/>
    </row>
    <row r="27" spans="1:16" ht="27" customHeight="1">
      <c r="A27" s="3" t="s">
        <v>6</v>
      </c>
      <c r="B27" s="9" t="s">
        <v>103</v>
      </c>
      <c r="C27" s="8"/>
      <c r="D27" s="206"/>
      <c r="E27" s="206"/>
      <c r="F27" s="206"/>
      <c r="G27" s="206"/>
      <c r="H27" s="10"/>
      <c r="I27" s="11"/>
      <c r="J27" s="5"/>
    </row>
    <row r="28" spans="1:16" ht="9" customHeight="1" thickBot="1">
      <c r="A28" s="6"/>
      <c r="B28" s="7"/>
      <c r="C28" s="8"/>
      <c r="D28" s="206"/>
      <c r="E28" s="206"/>
      <c r="F28" s="206"/>
      <c r="G28" s="206"/>
      <c r="H28" s="10"/>
      <c r="I28" s="145"/>
      <c r="J28" s="5"/>
    </row>
    <row r="29" spans="1:16" ht="23.25">
      <c r="A29" s="12">
        <v>1</v>
      </c>
      <c r="B29" s="17" t="s">
        <v>4</v>
      </c>
      <c r="C29" s="4" t="s">
        <v>35</v>
      </c>
      <c r="D29" s="185">
        <v>417.5</v>
      </c>
      <c r="E29" s="185">
        <v>417.66</v>
      </c>
      <c r="F29" s="239">
        <v>417.73171928396397</v>
      </c>
      <c r="G29" s="239">
        <v>418.63927093417101</v>
      </c>
      <c r="H29" s="139">
        <f>(D29-F29)/F29</f>
        <v>-5.5470837685287573E-4</v>
      </c>
      <c r="I29" s="140">
        <f>(E29-G29)/G29</f>
        <v>-2.3391759974781949E-3</v>
      </c>
      <c r="J29" s="5"/>
    </row>
    <row r="30" spans="1:16" ht="23.25">
      <c r="A30" s="13">
        <v>2</v>
      </c>
      <c r="B30" s="14" t="s">
        <v>82</v>
      </c>
      <c r="C30" s="26" t="s">
        <v>35</v>
      </c>
      <c r="D30" s="250">
        <v>0</v>
      </c>
      <c r="E30" s="247">
        <v>0</v>
      </c>
      <c r="F30" s="239">
        <v>0</v>
      </c>
      <c r="G30" s="239">
        <v>0</v>
      </c>
      <c r="H30" s="190" t="e">
        <f t="shared" ref="H30:H40" si="4">(D30-F30)/F30</f>
        <v>#DIV/0!</v>
      </c>
      <c r="I30" s="194" t="e">
        <f t="shared" ref="I30:I40" si="5">(E30-G30)/G30</f>
        <v>#DIV/0!</v>
      </c>
      <c r="J30" s="5"/>
    </row>
    <row r="31" spans="1:16" ht="23.25">
      <c r="A31" s="13">
        <v>3</v>
      </c>
      <c r="B31" s="14" t="s">
        <v>7</v>
      </c>
      <c r="C31" s="26" t="s">
        <v>35</v>
      </c>
      <c r="D31" s="250">
        <v>0</v>
      </c>
      <c r="E31" s="247">
        <v>0</v>
      </c>
      <c r="F31" s="239">
        <v>0</v>
      </c>
      <c r="G31" s="239">
        <v>0</v>
      </c>
      <c r="H31" s="144">
        <v>0</v>
      </c>
      <c r="I31" s="143">
        <v>0</v>
      </c>
      <c r="J31" s="5"/>
    </row>
    <row r="32" spans="1:16" ht="23.25">
      <c r="A32" s="13">
        <v>4</v>
      </c>
      <c r="B32" s="14" t="s">
        <v>8</v>
      </c>
      <c r="C32" s="26" t="s">
        <v>35</v>
      </c>
      <c r="D32" s="250">
        <v>417.5</v>
      </c>
      <c r="E32" s="247">
        <v>417.66</v>
      </c>
      <c r="F32" s="239">
        <f>SUM(F29:F31)</f>
        <v>417.73171928396397</v>
      </c>
      <c r="G32" s="239">
        <f>SUM(G29:G31)</f>
        <v>418.63927093417101</v>
      </c>
      <c r="H32" s="144">
        <f t="shared" si="4"/>
        <v>-5.5470837685287573E-4</v>
      </c>
      <c r="I32" s="143">
        <f t="shared" si="5"/>
        <v>-2.3391759974781949E-3</v>
      </c>
      <c r="J32" s="5"/>
    </row>
    <row r="33" spans="1:10" ht="23.25">
      <c r="A33" s="13">
        <v>5</v>
      </c>
      <c r="B33" s="14" t="s">
        <v>2</v>
      </c>
      <c r="C33" s="26" t="s">
        <v>35</v>
      </c>
      <c r="D33" s="250">
        <v>340.91</v>
      </c>
      <c r="E33" s="247">
        <v>362.42</v>
      </c>
      <c r="F33" s="245">
        <v>360.46759504992474</v>
      </c>
      <c r="G33" s="245">
        <v>367.76134415401003</v>
      </c>
      <c r="H33" s="144">
        <f t="shared" si="4"/>
        <v>-5.4256180911951293E-2</v>
      </c>
      <c r="I33" s="143">
        <f t="shared" si="5"/>
        <v>-1.4523941243191629E-2</v>
      </c>
      <c r="J33" s="5"/>
    </row>
    <row r="34" spans="1:10" ht="18" customHeight="1">
      <c r="A34" s="13">
        <v>6</v>
      </c>
      <c r="B34" s="14" t="s">
        <v>3</v>
      </c>
      <c r="C34" s="26" t="s">
        <v>35</v>
      </c>
      <c r="D34" s="251">
        <v>460.78</v>
      </c>
      <c r="E34" s="246">
        <v>467.02</v>
      </c>
      <c r="F34" s="385">
        <v>467.2643071005466</v>
      </c>
      <c r="G34" s="385">
        <v>463.26367133096136</v>
      </c>
      <c r="H34" s="430">
        <f t="shared" si="4"/>
        <v>-1.3877171874699445E-2</v>
      </c>
      <c r="I34" s="429">
        <f t="shared" si="5"/>
        <v>8.1084032733381665E-3</v>
      </c>
      <c r="J34" s="5"/>
    </row>
    <row r="35" spans="1:10" ht="18" customHeight="1">
      <c r="A35" s="13">
        <v>7</v>
      </c>
      <c r="B35" s="14" t="s">
        <v>1</v>
      </c>
      <c r="C35" s="26" t="s">
        <v>35</v>
      </c>
      <c r="D35" s="252"/>
      <c r="E35" s="247"/>
      <c r="F35" s="387"/>
      <c r="G35" s="387" t="e">
        <v>#DIV/0!</v>
      </c>
      <c r="H35" s="430"/>
      <c r="I35" s="429"/>
      <c r="J35" s="5"/>
    </row>
    <row r="36" spans="1:10" ht="23.25">
      <c r="A36" s="13">
        <v>8</v>
      </c>
      <c r="B36" s="14" t="s">
        <v>9</v>
      </c>
      <c r="C36" s="26" t="s">
        <v>35</v>
      </c>
      <c r="D36" s="250">
        <v>324.39999999999998</v>
      </c>
      <c r="E36" s="247">
        <v>339.02</v>
      </c>
      <c r="F36" s="245">
        <v>340.00617102147839</v>
      </c>
      <c r="G36" s="245">
        <v>343.31491573348637</v>
      </c>
      <c r="H36" s="144">
        <f t="shared" si="4"/>
        <v>-4.5899669922439629E-2</v>
      </c>
      <c r="I36" s="143">
        <f t="shared" si="5"/>
        <v>-1.2510134388744451E-2</v>
      </c>
      <c r="J36" s="5"/>
    </row>
    <row r="37" spans="1:10" ht="23.25">
      <c r="A37" s="13">
        <v>9</v>
      </c>
      <c r="B37" s="14" t="s">
        <v>10</v>
      </c>
      <c r="C37" s="26" t="s">
        <v>35</v>
      </c>
      <c r="D37" s="250">
        <v>393.63</v>
      </c>
      <c r="E37" s="247">
        <v>398.98</v>
      </c>
      <c r="F37" s="239">
        <v>395.82419623908572</v>
      </c>
      <c r="G37" s="239">
        <v>394.98069635274476</v>
      </c>
      <c r="H37" s="144">
        <f t="shared" si="4"/>
        <v>-5.5433605624260239E-3</v>
      </c>
      <c r="I37" s="143">
        <f t="shared" si="5"/>
        <v>1.0125314184173721E-2</v>
      </c>
      <c r="J37" s="5"/>
    </row>
    <row r="38" spans="1:10" ht="23.25">
      <c r="A38" s="13">
        <v>10</v>
      </c>
      <c r="B38" s="14" t="s">
        <v>223</v>
      </c>
      <c r="C38" s="26" t="s">
        <v>35</v>
      </c>
      <c r="D38" s="250">
        <v>76.64</v>
      </c>
      <c r="E38" s="247">
        <v>85.25</v>
      </c>
      <c r="F38" s="245">
        <v>93.313157766150184</v>
      </c>
      <c r="G38" s="245">
        <v>86.37771116073769</v>
      </c>
      <c r="H38" s="144">
        <f t="shared" si="4"/>
        <v>-0.17867960066183136</v>
      </c>
      <c r="I38" s="143">
        <f t="shared" si="5"/>
        <v>-1.3055580491582668E-2</v>
      </c>
      <c r="J38" s="5"/>
    </row>
    <row r="39" spans="1:10" ht="23.25">
      <c r="A39" s="13">
        <v>11</v>
      </c>
      <c r="B39" s="14" t="s">
        <v>11</v>
      </c>
      <c r="C39" s="26" t="s">
        <v>35</v>
      </c>
      <c r="D39" s="250">
        <v>330.62</v>
      </c>
      <c r="E39" s="247">
        <v>354.21</v>
      </c>
      <c r="F39" s="239">
        <v>351.38247548472236</v>
      </c>
      <c r="G39" s="239">
        <v>350.93006711478165</v>
      </c>
      <c r="H39" s="144">
        <f t="shared" si="4"/>
        <v>-5.9087965203959307E-2</v>
      </c>
      <c r="I39" s="143">
        <f t="shared" si="5"/>
        <v>9.3464003018742022E-3</v>
      </c>
      <c r="J39" s="5"/>
    </row>
    <row r="40" spans="1:10" ht="24" thickBot="1">
      <c r="A40" s="15"/>
      <c r="B40" s="16" t="s">
        <v>12</v>
      </c>
      <c r="C40" s="27" t="s">
        <v>35</v>
      </c>
      <c r="D40" s="243">
        <v>380.71</v>
      </c>
      <c r="E40" s="247">
        <v>387.24</v>
      </c>
      <c r="F40" s="239">
        <v>385.67241129211118</v>
      </c>
      <c r="G40" s="239">
        <v>382.11704609169675</v>
      </c>
      <c r="H40" s="141">
        <f t="shared" si="4"/>
        <v>-1.2866907631494106E-2</v>
      </c>
      <c r="I40" s="142">
        <f t="shared" si="5"/>
        <v>1.3406766227000254E-2</v>
      </c>
      <c r="J40" s="5"/>
    </row>
    <row r="41" spans="1:10" ht="15.75" customHeight="1">
      <c r="A41" s="6"/>
      <c r="B41" s="7"/>
      <c r="C41" s="8"/>
      <c r="D41" s="117"/>
      <c r="E41" s="117"/>
      <c r="F41" s="23"/>
      <c r="G41" s="23"/>
      <c r="H41" s="10"/>
      <c r="I41" s="11"/>
      <c r="J41" s="5"/>
    </row>
    <row r="42" spans="1:10" ht="20.25">
      <c r="A42" s="3" t="s">
        <v>45</v>
      </c>
      <c r="B42" s="9" t="s">
        <v>36</v>
      </c>
      <c r="C42" s="8"/>
      <c r="D42" s="117"/>
      <c r="E42" s="117"/>
      <c r="F42" s="23"/>
      <c r="G42" s="23"/>
      <c r="H42" s="10"/>
      <c r="I42" s="11"/>
      <c r="J42" s="5"/>
    </row>
    <row r="43" spans="1:10" ht="12" customHeight="1" thickBot="1">
      <c r="A43" s="6"/>
      <c r="B43" s="7"/>
      <c r="C43" s="8"/>
      <c r="D43" s="117"/>
      <c r="E43" s="117"/>
      <c r="F43" s="23"/>
      <c r="G43" s="23"/>
      <c r="H43" s="10"/>
      <c r="I43" s="11"/>
      <c r="J43" s="5"/>
    </row>
    <row r="44" spans="1:10" ht="23.25">
      <c r="A44" s="12">
        <v>1</v>
      </c>
      <c r="B44" s="17" t="s">
        <v>4</v>
      </c>
      <c r="C44" s="4" t="s">
        <v>37</v>
      </c>
      <c r="D44" s="207">
        <f>'SHEET-4'!D29/'SHEET-4'!D14*10^6</f>
        <v>526780.52434456942</v>
      </c>
      <c r="E44" s="207">
        <f>'SHEET-4'!E29/'SHEET-4'!E14*10^6</f>
        <v>1956506.3670411985</v>
      </c>
      <c r="F44" s="45">
        <f>'SHEET-4'!F29/'SHEET-4'!F14*10^6</f>
        <v>535466.31059983571</v>
      </c>
      <c r="G44" s="45">
        <f>'SHEET-4'!G29/'SHEET-4'!G14*10^6</f>
        <v>1534105.1766639277</v>
      </c>
      <c r="H44" s="139">
        <f>(D44-F44)/F44</f>
        <v>-1.6220976153544307E-2</v>
      </c>
      <c r="I44" s="140">
        <f>(E44-G44)/G44</f>
        <v>0.27534043741109487</v>
      </c>
      <c r="J44" s="5"/>
    </row>
    <row r="45" spans="1:10" ht="23.25">
      <c r="A45" s="13">
        <v>2</v>
      </c>
      <c r="B45" s="14" t="s">
        <v>82</v>
      </c>
      <c r="C45" s="26" t="s">
        <v>37</v>
      </c>
      <c r="D45" s="208">
        <v>0</v>
      </c>
      <c r="E45" s="209">
        <v>0</v>
      </c>
      <c r="F45" s="46">
        <v>0</v>
      </c>
      <c r="G45" s="213">
        <v>0</v>
      </c>
      <c r="H45" s="190" t="e">
        <f t="shared" ref="H45:H55" si="6">(D45-F45)/F45</f>
        <v>#DIV/0!</v>
      </c>
      <c r="I45" s="194" t="e">
        <f t="shared" ref="I45:I54" si="7">(E45-G45)/G45</f>
        <v>#DIV/0!</v>
      </c>
      <c r="J45" s="5"/>
    </row>
    <row r="46" spans="1:10" ht="24" thickBot="1">
      <c r="A46" s="13">
        <v>3</v>
      </c>
      <c r="B46" s="14" t="s">
        <v>7</v>
      </c>
      <c r="C46" s="26" t="s">
        <v>37</v>
      </c>
      <c r="D46" s="210">
        <v>0</v>
      </c>
      <c r="E46" s="113">
        <f t="shared" ref="E46" si="8">D46</f>
        <v>0</v>
      </c>
      <c r="F46" s="46">
        <v>0</v>
      </c>
      <c r="G46" s="213">
        <v>0</v>
      </c>
      <c r="H46" s="52">
        <v>0</v>
      </c>
      <c r="I46" s="93">
        <v>0</v>
      </c>
      <c r="J46" s="5"/>
    </row>
    <row r="47" spans="1:10" ht="24" thickBot="1">
      <c r="A47" s="13">
        <v>4</v>
      </c>
      <c r="B47" s="14" t="s">
        <v>8</v>
      </c>
      <c r="C47" s="26" t="s">
        <v>37</v>
      </c>
      <c r="D47" s="207">
        <f>'SHEET-4'!D32/'SHEET-4'!D17*10^6</f>
        <v>526780.52434456942</v>
      </c>
      <c r="E47" s="207">
        <f>'SHEET-4'!E32/'SHEET-4'!E17*10^6</f>
        <v>1956506.3670411985</v>
      </c>
      <c r="F47" s="46">
        <f>'SHEET-4'!F32/'SHEET-4'!F17*10^6</f>
        <v>535466.31059983571</v>
      </c>
      <c r="G47" s="213">
        <f>'SHEET-4'!G32/'SHEET-4'!G17*10^6</f>
        <v>1534105.1766639277</v>
      </c>
      <c r="H47" s="52">
        <f t="shared" si="6"/>
        <v>-1.6220976153544307E-2</v>
      </c>
      <c r="I47" s="93">
        <f t="shared" si="7"/>
        <v>0.27534043741109487</v>
      </c>
      <c r="J47" s="5"/>
    </row>
    <row r="48" spans="1:10" ht="23.25">
      <c r="A48" s="13">
        <v>5</v>
      </c>
      <c r="B48" s="14" t="s">
        <v>2</v>
      </c>
      <c r="C48" s="26" t="s">
        <v>37</v>
      </c>
      <c r="D48" s="207">
        <f>'SHEET-4'!D33/'SHEET-4'!D18*10^6</f>
        <v>174.20335471104244</v>
      </c>
      <c r="E48" s="207">
        <f>'SHEET-4'!E33/'SHEET-4'!E18*10^6</f>
        <v>983.5028374158901</v>
      </c>
      <c r="F48" s="46">
        <f>'SHEET-4'!F33/'SHEET-4'!F18*10^6</f>
        <v>196.22934538961016</v>
      </c>
      <c r="G48" s="213">
        <f>'SHEET-4'!G33/'SHEET-4'!G18*10^6</f>
        <v>1070.0646899895428</v>
      </c>
      <c r="H48" s="52">
        <f t="shared" si="6"/>
        <v>-0.11224616091357528</v>
      </c>
      <c r="I48" s="93">
        <f t="shared" si="7"/>
        <v>-8.089403695256836E-2</v>
      </c>
      <c r="J48" s="5"/>
    </row>
    <row r="49" spans="1:10" ht="18" customHeight="1">
      <c r="A49" s="13">
        <v>6</v>
      </c>
      <c r="B49" s="14" t="s">
        <v>3</v>
      </c>
      <c r="C49" s="26" t="s">
        <v>37</v>
      </c>
      <c r="D49" s="428">
        <f>'SHEET-4'!D34/'SHEET-4'!D19*10^6</f>
        <v>1104.1033161891769</v>
      </c>
      <c r="E49" s="428">
        <f>'SHEET-4'!E34/'SHEET-4'!E19*10^6</f>
        <v>4638.2497577084605</v>
      </c>
      <c r="F49" s="428">
        <f>'SHEET-4'!F34/'SHEET-4'!F19*10^6</f>
        <v>1034.6112672822751</v>
      </c>
      <c r="G49" s="428">
        <f>'SHEET-4'!G34/'SHEET-4'!G19*10^6</f>
        <v>4159.99668970525</v>
      </c>
      <c r="H49" s="430">
        <f t="shared" si="6"/>
        <v>6.7167303415749627E-2</v>
      </c>
      <c r="I49" s="429">
        <f t="shared" si="7"/>
        <v>0.11496477129098301</v>
      </c>
      <c r="J49" s="5"/>
    </row>
    <row r="50" spans="1:10" ht="18" customHeight="1" thickBot="1">
      <c r="A50" s="13">
        <v>7</v>
      </c>
      <c r="B50" s="14" t="s">
        <v>1</v>
      </c>
      <c r="C50" s="26" t="s">
        <v>37</v>
      </c>
      <c r="D50" s="428"/>
      <c r="E50" s="428"/>
      <c r="F50" s="428"/>
      <c r="G50" s="428"/>
      <c r="H50" s="430"/>
      <c r="I50" s="429"/>
      <c r="J50" s="5"/>
    </row>
    <row r="51" spans="1:10" ht="24" thickBot="1">
      <c r="A51" s="13">
        <v>8</v>
      </c>
      <c r="B51" s="14" t="s">
        <v>9</v>
      </c>
      <c r="C51" s="26" t="s">
        <v>37</v>
      </c>
      <c r="D51" s="207">
        <f>'SHEET-4'!D36/'SHEET-4'!D21*10^6</f>
        <v>3837.0483655132862</v>
      </c>
      <c r="E51" s="207">
        <f>'SHEET-4'!E36/'SHEET-4'!E21*10^6</f>
        <v>14649.053718218314</v>
      </c>
      <c r="F51" s="46">
        <f>'SHEET-4'!F36/'SHEET-4'!F21*10^6</f>
        <v>4030.8510209835267</v>
      </c>
      <c r="G51" s="213">
        <f>'SHEET-4'!G36/'SHEET-4'!G21*10^6</f>
        <v>14240.283539409562</v>
      </c>
      <c r="H51" s="52">
        <f t="shared" si="6"/>
        <v>-4.8079835861299769E-2</v>
      </c>
      <c r="I51" s="93">
        <f t="shared" si="7"/>
        <v>2.8705199420888856E-2</v>
      </c>
      <c r="J51" s="5"/>
    </row>
    <row r="52" spans="1:10" ht="24" thickBot="1">
      <c r="A52" s="13">
        <v>9</v>
      </c>
      <c r="B52" s="14" t="s">
        <v>10</v>
      </c>
      <c r="C52" s="26" t="s">
        <v>37</v>
      </c>
      <c r="D52" s="207">
        <f>'SHEET-4'!D37/'SHEET-4'!D22*10^6</f>
        <v>317.22614562663711</v>
      </c>
      <c r="E52" s="207">
        <f>'SHEET-4'!E37/'SHEET-4'!E22*10^6</f>
        <v>1539.6602479777371</v>
      </c>
      <c r="F52" s="46">
        <f>'SHEET-4'!F37/'SHEET-4'!F22*10^6</f>
        <v>326.68089358657045</v>
      </c>
      <c r="G52" s="213">
        <f>'SHEET-4'!G37/'SHEET-4'!G22*10^6</f>
        <v>1543.2371395922216</v>
      </c>
      <c r="H52" s="52">
        <f t="shared" si="6"/>
        <v>-2.8941845530454428E-2</v>
      </c>
      <c r="I52" s="93">
        <f t="shared" si="7"/>
        <v>-2.317784819143031E-3</v>
      </c>
      <c r="J52" s="5"/>
    </row>
    <row r="53" spans="1:10" ht="24" thickBot="1">
      <c r="A53" s="13">
        <v>10</v>
      </c>
      <c r="B53" s="14" t="s">
        <v>5</v>
      </c>
      <c r="C53" s="26" t="s">
        <v>37</v>
      </c>
      <c r="D53" s="207">
        <f>'SHEET-4'!D38/'SHEET-4'!D23*10^6</f>
        <v>2207.326214623637</v>
      </c>
      <c r="E53" s="207">
        <f>'SHEET-4'!E38/'SHEET-4'!E23*10^6</f>
        <v>6446.3192696620854</v>
      </c>
      <c r="F53" s="46">
        <f>'SHEET-4'!F38/'SHEET-4'!F23*10^6</f>
        <v>2218.3138478637238</v>
      </c>
      <c r="G53" s="213">
        <f>'SHEET-4'!G38/'SHEET-4'!G23*10^6</f>
        <v>7374.7461901810339</v>
      </c>
      <c r="H53" s="52">
        <f t="shared" si="6"/>
        <v>-4.9531463957041373E-3</v>
      </c>
      <c r="I53" s="93">
        <f t="shared" si="7"/>
        <v>-0.12589272858706443</v>
      </c>
      <c r="J53" s="5"/>
    </row>
    <row r="54" spans="1:10" ht="24" thickBot="1">
      <c r="A54" s="13">
        <v>11</v>
      </c>
      <c r="B54" s="14" t="s">
        <v>11</v>
      </c>
      <c r="C54" s="26" t="s">
        <v>37</v>
      </c>
      <c r="D54" s="207">
        <f>'SHEET-4'!D39/'SHEET-4'!D24*10^6</f>
        <v>428.97516151414146</v>
      </c>
      <c r="E54" s="207">
        <f>'SHEET-4'!E39/'SHEET-4'!E24*10^6</f>
        <v>1829.75828350648</v>
      </c>
      <c r="F54" s="46">
        <f>'SHEET-4'!F39/'SHEET-4'!F24*10^6</f>
        <v>433.17110822938213</v>
      </c>
      <c r="G54" s="213">
        <f>'SHEET-4'!G39/'SHEET-4'!G24*10^6</f>
        <v>1871.5242150973124</v>
      </c>
      <c r="H54" s="52">
        <f t="shared" si="6"/>
        <v>-9.6865802809238555E-3</v>
      </c>
      <c r="I54" s="93">
        <f t="shared" si="7"/>
        <v>-2.2316532831321543E-2</v>
      </c>
      <c r="J54" s="5"/>
    </row>
    <row r="55" spans="1:10" ht="24" thickBot="1">
      <c r="A55" s="15"/>
      <c r="B55" s="16" t="s">
        <v>12</v>
      </c>
      <c r="C55" s="27" t="s">
        <v>37</v>
      </c>
      <c r="D55" s="207">
        <f>'SHEET-4'!D40/'SHEET-4'!D25*10^6</f>
        <v>841.12772530487121</v>
      </c>
      <c r="E55" s="207">
        <f>'SHEET-4'!E40/'SHEET-4'!E25*10^6</f>
        <v>3360.3417441833867</v>
      </c>
      <c r="F55" s="126">
        <f>'SHEET-4'!F40/'SHEET-4'!F25*10^6</f>
        <v>824.61636869004633</v>
      </c>
      <c r="G55" s="126">
        <f>'SHEET-4'!G40/'SHEET-4'!G25*10^6</f>
        <v>2992.549357090104</v>
      </c>
      <c r="H55" s="141">
        <f t="shared" si="6"/>
        <v>2.0023076477434204E-2</v>
      </c>
      <c r="I55" s="142">
        <f>(E55-G55)/G55</f>
        <v>0.12290269706726469</v>
      </c>
      <c r="J55" s="5"/>
    </row>
    <row r="56" spans="1:10" ht="23.25">
      <c r="A56" s="8"/>
      <c r="B56" s="8"/>
      <c r="C56" s="8"/>
      <c r="D56" s="25"/>
      <c r="E56" s="25"/>
      <c r="F56" s="25"/>
      <c r="G56" s="47"/>
      <c r="H56" s="8"/>
      <c r="I56" s="8"/>
      <c r="J56" s="5"/>
    </row>
    <row r="57" spans="1:10">
      <c r="A57" s="5"/>
      <c r="B57" s="5"/>
      <c r="C57" s="5"/>
      <c r="D57" s="5"/>
      <c r="E57" s="5"/>
      <c r="F57" s="5"/>
      <c r="G57" s="5"/>
      <c r="H57" s="5"/>
      <c r="I57" s="5"/>
      <c r="J57" s="5"/>
    </row>
    <row r="58" spans="1:10" ht="12.75" customHeight="1">
      <c r="A58" s="388"/>
      <c r="B58" s="388"/>
      <c r="C58" s="5"/>
      <c r="D58" s="5"/>
      <c r="E58" s="5"/>
      <c r="F58" s="5"/>
      <c r="G58" s="5"/>
      <c r="H58" s="5"/>
      <c r="I58" s="5"/>
      <c r="J58" s="5"/>
    </row>
    <row r="59" spans="1:10">
      <c r="A59" s="5"/>
      <c r="B59" s="5"/>
      <c r="C59" s="5"/>
      <c r="D59" s="5"/>
      <c r="E59" s="5"/>
      <c r="F59" s="5"/>
      <c r="G59" s="5"/>
      <c r="H59" s="5"/>
      <c r="I59" s="5"/>
      <c r="J59" s="5"/>
    </row>
    <row r="60" spans="1:10">
      <c r="A60" s="5"/>
      <c r="B60" s="5"/>
      <c r="C60" s="5"/>
      <c r="D60" s="5"/>
      <c r="E60" s="5"/>
      <c r="F60" s="5"/>
      <c r="G60" s="5"/>
      <c r="H60" s="5"/>
      <c r="I60" s="5"/>
      <c r="J60" s="5"/>
    </row>
    <row r="61" spans="1:10" ht="26.25">
      <c r="A61" s="5"/>
      <c r="B61" s="5"/>
      <c r="C61" s="5"/>
      <c r="D61" s="19"/>
      <c r="E61" s="5"/>
      <c r="F61" s="5"/>
      <c r="G61" s="5"/>
      <c r="H61" s="5"/>
      <c r="I61" s="5"/>
      <c r="J61" s="5"/>
    </row>
    <row r="62" spans="1:10">
      <c r="A62" s="5"/>
      <c r="B62" s="5"/>
      <c r="C62" s="5"/>
      <c r="D62" s="43"/>
      <c r="E62" s="5"/>
      <c r="F62" s="5"/>
      <c r="G62" s="5"/>
      <c r="H62" s="5"/>
      <c r="I62" s="5"/>
      <c r="J62" s="5"/>
    </row>
    <row r="63" spans="1:10" ht="24" thickBot="1">
      <c r="A63" s="5"/>
      <c r="B63" s="9"/>
      <c r="C63" s="5"/>
      <c r="D63" s="5"/>
      <c r="E63" s="5"/>
      <c r="F63" s="18"/>
      <c r="G63" s="5"/>
      <c r="H63" s="5"/>
      <c r="I63" s="5"/>
      <c r="J63" s="5"/>
    </row>
    <row r="64" spans="1:10" ht="23.25">
      <c r="A64" s="12"/>
      <c r="B64" s="17"/>
      <c r="C64" s="4"/>
      <c r="D64" s="28"/>
      <c r="E64" s="28"/>
      <c r="F64" s="28"/>
      <c r="G64" s="28"/>
      <c r="H64" s="5"/>
      <c r="I64" s="5"/>
      <c r="J64" s="5"/>
    </row>
    <row r="65" spans="1:10" ht="23.25">
      <c r="A65" s="13"/>
      <c r="B65" s="14"/>
      <c r="C65" s="26"/>
      <c r="D65" s="28"/>
      <c r="E65" s="28"/>
      <c r="F65" s="28"/>
      <c r="G65" s="28"/>
      <c r="H65" s="5"/>
      <c r="I65" s="5"/>
      <c r="J65" s="5"/>
    </row>
    <row r="66" spans="1:10" ht="23.25">
      <c r="A66" s="13"/>
      <c r="B66" s="14"/>
      <c r="C66" s="26"/>
      <c r="D66" s="28"/>
      <c r="E66" s="28"/>
      <c r="F66" s="28"/>
      <c r="G66" s="28"/>
      <c r="H66" s="5"/>
      <c r="I66" s="5"/>
      <c r="J66" s="5"/>
    </row>
    <row r="67" spans="1:10" ht="23.25">
      <c r="A67" s="13"/>
      <c r="B67" s="14"/>
      <c r="C67" s="26"/>
      <c r="D67" s="28"/>
      <c r="E67" s="28"/>
      <c r="F67" s="28"/>
      <c r="G67" s="28"/>
      <c r="H67" s="5"/>
      <c r="I67" s="5"/>
      <c r="J67" s="5"/>
    </row>
    <row r="68" spans="1:10" ht="23.25">
      <c r="A68" s="13"/>
      <c r="B68" s="14"/>
      <c r="C68" s="26"/>
      <c r="D68" s="44">
        <f>3.8</f>
        <v>3.8</v>
      </c>
      <c r="E68" s="28"/>
      <c r="F68" s="28"/>
      <c r="G68" s="28"/>
      <c r="H68" s="5"/>
      <c r="I68" s="5"/>
      <c r="J68" s="5"/>
    </row>
    <row r="69" spans="1:10" ht="23.25">
      <c r="A69" s="13"/>
      <c r="B69" s="14"/>
      <c r="C69" s="26"/>
      <c r="D69" s="44">
        <v>4.25</v>
      </c>
      <c r="E69" s="28"/>
      <c r="F69" s="28"/>
      <c r="G69" s="28"/>
    </row>
    <row r="70" spans="1:10" ht="23.25">
      <c r="A70" s="13"/>
      <c r="B70" s="14"/>
      <c r="C70" s="26"/>
      <c r="D70" s="44">
        <v>4.55</v>
      </c>
      <c r="E70" s="28"/>
      <c r="F70" s="28"/>
      <c r="G70" s="28"/>
    </row>
    <row r="71" spans="1:10" ht="23.25">
      <c r="A71" s="13"/>
      <c r="B71" s="14"/>
      <c r="C71" s="26"/>
      <c r="D71" s="44">
        <v>4.5999999999999996</v>
      </c>
      <c r="E71" s="28"/>
      <c r="F71" s="28"/>
      <c r="G71" s="28"/>
    </row>
    <row r="72" spans="1:10" ht="23.25">
      <c r="A72" s="13"/>
      <c r="B72" s="14"/>
      <c r="C72" s="26"/>
      <c r="D72" s="28"/>
      <c r="E72" s="28"/>
      <c r="F72" s="28"/>
      <c r="G72" s="28"/>
    </row>
    <row r="73" spans="1:10" ht="23.25">
      <c r="A73" s="13"/>
      <c r="B73" s="14"/>
      <c r="C73" s="26"/>
      <c r="D73" s="28"/>
      <c r="E73" s="28"/>
      <c r="F73" s="28"/>
      <c r="G73" s="28"/>
    </row>
    <row r="74" spans="1:10" ht="23.25">
      <c r="A74" s="13"/>
      <c r="B74" s="14"/>
      <c r="C74" s="26"/>
      <c r="D74" s="28"/>
      <c r="E74" s="28"/>
      <c r="F74" s="28"/>
      <c r="G74" s="28"/>
    </row>
    <row r="75" spans="1:10" ht="24" thickBot="1">
      <c r="A75" s="15"/>
      <c r="B75" s="16"/>
      <c r="C75" s="27"/>
      <c r="D75" s="28"/>
      <c r="E75" s="28"/>
      <c r="F75" s="28"/>
      <c r="G75" s="28"/>
    </row>
    <row r="76" spans="1:10" ht="23.25">
      <c r="D76" s="29"/>
      <c r="E76" s="29"/>
      <c r="F76" s="29"/>
      <c r="G76" s="29"/>
    </row>
  </sheetData>
  <mergeCells count="25">
    <mergeCell ref="G34:G35"/>
    <mergeCell ref="F19:F20"/>
    <mergeCell ref="G19:G20"/>
    <mergeCell ref="A5:I5"/>
    <mergeCell ref="A9:I9"/>
    <mergeCell ref="A7:I7"/>
    <mergeCell ref="H11:I11"/>
    <mergeCell ref="D11:E11"/>
    <mergeCell ref="F11:G11"/>
    <mergeCell ref="A58:B58"/>
    <mergeCell ref="H12:H13"/>
    <mergeCell ref="I12:I13"/>
    <mergeCell ref="D13:E13"/>
    <mergeCell ref="D49:D50"/>
    <mergeCell ref="I49:I50"/>
    <mergeCell ref="H34:H35"/>
    <mergeCell ref="I34:I35"/>
    <mergeCell ref="H19:H20"/>
    <mergeCell ref="I19:I20"/>
    <mergeCell ref="F13:G13"/>
    <mergeCell ref="E49:E50"/>
    <mergeCell ref="H49:H50"/>
    <mergeCell ref="F49:F50"/>
    <mergeCell ref="G49:G50"/>
    <mergeCell ref="F34:F35"/>
  </mergeCells>
  <phoneticPr fontId="2" type="noConversion"/>
  <printOptions horizontalCentered="1" verticalCentered="1"/>
  <pageMargins left="0.511811023622047" right="0.23622047244094499" top="0.15748031496063" bottom="0" header="0.511811023622047" footer="0.511811023622047"/>
  <pageSetup paperSize="9" scale="45" orientation="landscape" verticalDpi="300" r:id="rId1"/>
  <headerFooter alignWithMargins="0"/>
</worksheet>
</file>

<file path=xl/worksheets/sheet7.xml><?xml version="1.0" encoding="utf-8"?>
<worksheet xmlns="http://schemas.openxmlformats.org/spreadsheetml/2006/main" xmlns:r="http://schemas.openxmlformats.org/officeDocument/2006/relationships">
  <dimension ref="A1:M54"/>
  <sheetViews>
    <sheetView view="pageBreakPreview" topLeftCell="A22" zoomScale="60" zoomScaleNormal="60" workbookViewId="0">
      <selection activeCell="C14" sqref="C14"/>
    </sheetView>
  </sheetViews>
  <sheetFormatPr defaultRowHeight="12.75"/>
  <cols>
    <col min="1" max="1" width="8" style="85" customWidth="1"/>
    <col min="2" max="2" width="67" style="85" customWidth="1"/>
    <col min="3" max="3" width="49.5703125" style="85" customWidth="1"/>
    <col min="4" max="4" width="50.42578125" style="85" customWidth="1"/>
    <col min="5" max="5" width="24.7109375" style="85" customWidth="1"/>
    <col min="6" max="10" width="9.140625" style="85"/>
    <col min="11" max="12" width="13" style="85" bestFit="1" customWidth="1"/>
    <col min="13" max="13" width="17.5703125" style="85" bestFit="1" customWidth="1"/>
    <col min="14" max="16384" width="9.140625" style="85"/>
  </cols>
  <sheetData>
    <row r="1" spans="1:7" ht="33">
      <c r="E1" s="86" t="s">
        <v>227</v>
      </c>
    </row>
    <row r="4" spans="1:7" ht="37.5">
      <c r="A4" s="375" t="s">
        <v>0</v>
      </c>
      <c r="B4" s="375"/>
      <c r="C4" s="375"/>
      <c r="D4" s="375"/>
      <c r="E4" s="375"/>
    </row>
    <row r="5" spans="1:7" ht="18" customHeight="1">
      <c r="A5" s="87"/>
      <c r="B5" s="87"/>
      <c r="C5" s="87"/>
    </row>
    <row r="6" spans="1:7" ht="30">
      <c r="A6" s="376" t="s">
        <v>99</v>
      </c>
      <c r="B6" s="376"/>
      <c r="C6" s="376"/>
      <c r="D6" s="376"/>
      <c r="E6" s="376"/>
    </row>
    <row r="7" spans="1:7" ht="18" customHeight="1" thickBot="1"/>
    <row r="8" spans="1:7" ht="18" customHeight="1">
      <c r="A8" s="88"/>
      <c r="B8" s="89"/>
      <c r="C8" s="130" t="s">
        <v>105</v>
      </c>
      <c r="D8" s="130" t="s">
        <v>66</v>
      </c>
      <c r="E8" s="131" t="s">
        <v>17</v>
      </c>
    </row>
    <row r="9" spans="1:7" ht="18" customHeight="1">
      <c r="A9" s="90"/>
      <c r="B9" s="49"/>
      <c r="C9" s="152" t="s">
        <v>238</v>
      </c>
      <c r="D9" s="225" t="s">
        <v>235</v>
      </c>
      <c r="E9" s="30"/>
    </row>
    <row r="10" spans="1:7" ht="20.25">
      <c r="A10" s="90" t="s">
        <v>38</v>
      </c>
      <c r="B10" s="92" t="s">
        <v>84</v>
      </c>
      <c r="C10" s="148" t="s">
        <v>62</v>
      </c>
      <c r="D10" s="153" t="s">
        <v>62</v>
      </c>
      <c r="E10" s="132"/>
    </row>
    <row r="11" spans="1:7" ht="23.25">
      <c r="A11" s="90">
        <v>1</v>
      </c>
      <c r="B11" s="92" t="s">
        <v>85</v>
      </c>
      <c r="C11" s="149">
        <f>7480.28-190.21</f>
        <v>7290.07</v>
      </c>
      <c r="D11" s="200">
        <v>6171.59</v>
      </c>
      <c r="E11" s="170">
        <f>(C11-D11)/D11</f>
        <v>0.18123044466660934</v>
      </c>
    </row>
    <row r="12" spans="1:7" ht="23.25">
      <c r="A12" s="90">
        <v>2</v>
      </c>
      <c r="B12" s="92" t="s">
        <v>86</v>
      </c>
      <c r="C12" s="149">
        <f>240.8-73.82</f>
        <v>166.98000000000002</v>
      </c>
      <c r="D12" s="200">
        <f>276.65-84.85</f>
        <v>191.79999999999998</v>
      </c>
      <c r="E12" s="170">
        <f>(C12-D12)/D12</f>
        <v>-0.12940563086548471</v>
      </c>
      <c r="F12" s="187"/>
      <c r="G12" s="201"/>
    </row>
    <row r="13" spans="1:7" ht="23.25">
      <c r="A13" s="90">
        <v>3</v>
      </c>
      <c r="B13" s="92" t="s">
        <v>126</v>
      </c>
      <c r="C13" s="149">
        <v>73.819999999999993</v>
      </c>
      <c r="D13" s="200">
        <v>84.85</v>
      </c>
      <c r="E13" s="170">
        <f>(C13-D13)/D13</f>
        <v>-0.12999410724808488</v>
      </c>
    </row>
    <row r="14" spans="1:7" ht="23.25">
      <c r="A14" s="90">
        <v>4</v>
      </c>
      <c r="B14" s="92" t="s">
        <v>87</v>
      </c>
      <c r="C14" s="149">
        <v>194.65</v>
      </c>
      <c r="D14" s="200">
        <v>142.01</v>
      </c>
      <c r="E14" s="170">
        <f>(C14-D14)/D14</f>
        <v>0.37067812125906641</v>
      </c>
    </row>
    <row r="15" spans="1:7" ht="23.25">
      <c r="A15" s="90">
        <v>5</v>
      </c>
      <c r="B15" s="92" t="s">
        <v>120</v>
      </c>
      <c r="C15" s="149">
        <f>SUM(C11:C14)</f>
        <v>7725.5199999999986</v>
      </c>
      <c r="D15" s="200">
        <f>SUM(D11:D14)</f>
        <v>6590.2500000000009</v>
      </c>
      <c r="E15" s="170">
        <f>(C15-D15)/D15</f>
        <v>0.17226508857782294</v>
      </c>
    </row>
    <row r="16" spans="1:7" ht="17.25" customHeight="1">
      <c r="A16" s="90"/>
      <c r="B16" s="92"/>
      <c r="C16" s="149"/>
      <c r="D16" s="200"/>
      <c r="E16" s="151"/>
    </row>
    <row r="17" spans="1:11" ht="23.25" customHeight="1">
      <c r="A17" s="90" t="s">
        <v>6</v>
      </c>
      <c r="B17" s="92" t="s">
        <v>88</v>
      </c>
      <c r="C17" s="154"/>
      <c r="D17" s="154"/>
      <c r="E17" s="151"/>
    </row>
    <row r="18" spans="1:11" ht="23.25">
      <c r="A18" s="90"/>
      <c r="B18" s="92" t="s">
        <v>89</v>
      </c>
      <c r="C18" s="154"/>
      <c r="D18" s="154"/>
      <c r="E18" s="151"/>
      <c r="K18" s="85" t="s">
        <v>128</v>
      </c>
    </row>
    <row r="19" spans="1:11" ht="18" customHeight="1">
      <c r="A19" s="90">
        <v>1</v>
      </c>
      <c r="B19" s="92" t="s">
        <v>109</v>
      </c>
      <c r="C19" s="372">
        <f>6718.53-190.21</f>
        <v>6528.32</v>
      </c>
      <c r="D19" s="372">
        <v>5495.04</v>
      </c>
      <c r="E19" s="438">
        <f>(C19-D19)/D19</f>
        <v>0.18803866759841598</v>
      </c>
    </row>
    <row r="20" spans="1:11" ht="18" customHeight="1">
      <c r="A20" s="90">
        <v>2</v>
      </c>
      <c r="B20" s="92" t="s">
        <v>90</v>
      </c>
      <c r="C20" s="373"/>
      <c r="D20" s="373"/>
      <c r="E20" s="439"/>
    </row>
    <row r="21" spans="1:11" ht="18" customHeight="1">
      <c r="A21" s="90">
        <v>3</v>
      </c>
      <c r="B21" s="92" t="s">
        <v>91</v>
      </c>
      <c r="C21" s="374"/>
      <c r="D21" s="374"/>
      <c r="E21" s="440"/>
    </row>
    <row r="22" spans="1:11" ht="23.25">
      <c r="A22" s="90">
        <v>4</v>
      </c>
      <c r="B22" s="92" t="s">
        <v>92</v>
      </c>
      <c r="C22" s="171"/>
      <c r="D22" s="200"/>
      <c r="E22" s="170">
        <v>0</v>
      </c>
    </row>
    <row r="23" spans="1:11" ht="25.5" customHeight="1">
      <c r="A23" s="90">
        <v>5</v>
      </c>
      <c r="B23" s="92" t="s">
        <v>93</v>
      </c>
      <c r="C23" s="171">
        <v>586.14</v>
      </c>
      <c r="D23" s="200">
        <v>511.64</v>
      </c>
      <c r="E23" s="170">
        <f>(C23-D23)/D23</f>
        <v>0.14561019466812603</v>
      </c>
    </row>
    <row r="24" spans="1:11" ht="23.25">
      <c r="A24" s="90">
        <v>6</v>
      </c>
      <c r="B24" s="92" t="s">
        <v>27</v>
      </c>
      <c r="C24" s="171">
        <v>80.53</v>
      </c>
      <c r="D24" s="200">
        <v>77.42</v>
      </c>
      <c r="E24" s="170">
        <f>(C24-D24)/D24</f>
        <v>4.0170498579178496E-2</v>
      </c>
    </row>
    <row r="25" spans="1:11" ht="23.25">
      <c r="A25" s="90">
        <v>7</v>
      </c>
      <c r="B25" s="92" t="s">
        <v>94</v>
      </c>
      <c r="C25" s="171">
        <v>92.81</v>
      </c>
      <c r="D25" s="200">
        <v>81.11</v>
      </c>
      <c r="E25" s="170">
        <f>(C25-D25)/D25</f>
        <v>0.14424855135001852</v>
      </c>
    </row>
    <row r="26" spans="1:11" ht="23.25">
      <c r="A26" s="90">
        <v>8</v>
      </c>
      <c r="B26" s="92" t="s">
        <v>95</v>
      </c>
      <c r="C26" s="171">
        <v>39.94</v>
      </c>
      <c r="D26" s="200">
        <v>13.68</v>
      </c>
      <c r="E26" s="232">
        <f>(C26-D26)/D26</f>
        <v>1.9195906432748537</v>
      </c>
    </row>
    <row r="27" spans="1:11" ht="12.75" customHeight="1">
      <c r="A27" s="90"/>
      <c r="B27" s="92"/>
      <c r="C27" s="171"/>
      <c r="D27" s="200"/>
      <c r="E27" s="151"/>
    </row>
    <row r="28" spans="1:11" ht="23.25">
      <c r="A28" s="90">
        <v>9</v>
      </c>
      <c r="B28" s="92" t="s">
        <v>28</v>
      </c>
      <c r="C28" s="171">
        <v>275.32</v>
      </c>
      <c r="D28" s="200">
        <v>270.72000000000003</v>
      </c>
      <c r="E28" s="170">
        <f t="shared" ref="E28:E33" si="0">(C28-D28)/D28</f>
        <v>1.6991725768321385E-2</v>
      </c>
    </row>
    <row r="29" spans="1:11" ht="27" customHeight="1">
      <c r="A29" s="90">
        <v>10</v>
      </c>
      <c r="B29" s="92" t="s">
        <v>26</v>
      </c>
      <c r="C29" s="171">
        <v>52.66</v>
      </c>
      <c r="D29" s="200">
        <v>53.93</v>
      </c>
      <c r="E29" s="170">
        <f t="shared" si="0"/>
        <v>-2.3549045058409108E-2</v>
      </c>
    </row>
    <row r="30" spans="1:11" ht="23.25">
      <c r="A30" s="90">
        <v>11</v>
      </c>
      <c r="B30" s="92" t="s">
        <v>96</v>
      </c>
      <c r="C30" s="171">
        <v>0</v>
      </c>
      <c r="D30" s="200">
        <v>0</v>
      </c>
      <c r="E30" s="170"/>
    </row>
    <row r="31" spans="1:11" ht="23.25">
      <c r="A31" s="90">
        <v>12</v>
      </c>
      <c r="B31" s="92" t="s">
        <v>230</v>
      </c>
      <c r="C31" s="171">
        <v>0</v>
      </c>
      <c r="D31" s="200">
        <v>0</v>
      </c>
      <c r="E31" s="170">
        <v>0</v>
      </c>
    </row>
    <row r="32" spans="1:11" ht="23.25">
      <c r="A32" s="90">
        <v>13</v>
      </c>
      <c r="B32" s="92" t="s">
        <v>97</v>
      </c>
      <c r="C32" s="171">
        <v>-33.340000000000003</v>
      </c>
      <c r="D32" s="200">
        <f>-5.4-34.06</f>
        <v>-39.46</v>
      </c>
      <c r="E32" s="170"/>
    </row>
    <row r="33" spans="1:13" ht="23.25">
      <c r="A33" s="90">
        <v>14</v>
      </c>
      <c r="B33" s="92" t="s">
        <v>231</v>
      </c>
      <c r="C33" s="22">
        <f>SUM(C19:C32)</f>
        <v>7622.3799999999992</v>
      </c>
      <c r="D33" s="22">
        <f>SUM(D19:D32)</f>
        <v>6464.0800000000008</v>
      </c>
      <c r="E33" s="170">
        <f t="shared" si="0"/>
        <v>0.17919023279414831</v>
      </c>
    </row>
    <row r="34" spans="1:13" ht="15" customHeight="1">
      <c r="A34" s="90"/>
      <c r="B34" s="92"/>
      <c r="C34" s="22"/>
      <c r="D34" s="22"/>
      <c r="E34" s="178" t="s">
        <v>232</v>
      </c>
    </row>
    <row r="35" spans="1:13" ht="20.25" customHeight="1">
      <c r="A35" s="90" t="s">
        <v>45</v>
      </c>
      <c r="B35" s="92" t="s">
        <v>98</v>
      </c>
      <c r="C35" s="171">
        <f>C15-C33</f>
        <v>103.13999999999942</v>
      </c>
      <c r="D35" s="200">
        <f>D15-D33</f>
        <v>126.17000000000007</v>
      </c>
      <c r="E35" s="170">
        <f>(C35-D35)/D35</f>
        <v>-0.18253150511215535</v>
      </c>
      <c r="F35" s="97"/>
      <c r="K35" s="133"/>
      <c r="L35" s="133"/>
      <c r="M35" s="134"/>
    </row>
    <row r="36" spans="1:13" ht="23.25">
      <c r="A36" s="90"/>
      <c r="B36" s="92"/>
      <c r="C36" s="20"/>
      <c r="D36" s="20"/>
      <c r="E36" s="138"/>
    </row>
    <row r="37" spans="1:13" ht="23.25" customHeight="1" thickBot="1">
      <c r="A37" s="441" t="s">
        <v>127</v>
      </c>
      <c r="B37" s="442"/>
      <c r="C37" s="442"/>
      <c r="D37" s="442"/>
      <c r="E37" s="443"/>
    </row>
    <row r="40" spans="1:13" ht="12.75" customHeight="1">
      <c r="A40" s="388"/>
      <c r="B40" s="388"/>
    </row>
    <row r="41" spans="1:13">
      <c r="D41" s="97"/>
    </row>
    <row r="44" spans="1:13" ht="20.100000000000001" customHeight="1">
      <c r="C44" s="24"/>
      <c r="D44" s="24"/>
    </row>
    <row r="45" spans="1:13" ht="20.100000000000001" customHeight="1"/>
    <row r="46" spans="1:13" ht="20.100000000000001" customHeight="1"/>
    <row r="47" spans="1:13" ht="20.100000000000001" customHeight="1"/>
    <row r="48" spans="1:13" ht="20.100000000000001" customHeight="1"/>
    <row r="49" spans="3:4" ht="20.100000000000001" customHeight="1">
      <c r="C49" s="24"/>
      <c r="D49" s="135"/>
    </row>
    <row r="50" spans="3:4" ht="20.100000000000001" customHeight="1"/>
    <row r="54" spans="3:4" ht="60" customHeight="1"/>
  </sheetData>
  <mergeCells count="7">
    <mergeCell ref="A40:B40"/>
    <mergeCell ref="A4:E4"/>
    <mergeCell ref="A6:E6"/>
    <mergeCell ref="E19:E21"/>
    <mergeCell ref="C19:C21"/>
    <mergeCell ref="D19:D21"/>
    <mergeCell ref="A37:E37"/>
  </mergeCells>
  <phoneticPr fontId="2" type="noConversion"/>
  <printOptions horizontalCentered="1" verticalCentered="1"/>
  <pageMargins left="0.5" right="0.25" top="0.25" bottom="0" header="0.5" footer="0.5"/>
  <pageSetup paperSize="9" scale="55" orientation="landscape" verticalDpi="300" r:id="rId1"/>
  <headerFooter alignWithMargins="0"/>
</worksheet>
</file>

<file path=xl/worksheets/sheet8.xml><?xml version="1.0" encoding="utf-8"?>
<worksheet xmlns="http://schemas.openxmlformats.org/spreadsheetml/2006/main" xmlns:r="http://schemas.openxmlformats.org/officeDocument/2006/relationships">
  <sheetPr>
    <pageSetUpPr fitToPage="1"/>
  </sheetPr>
  <dimension ref="B1:L32"/>
  <sheetViews>
    <sheetView view="pageBreakPreview" topLeftCell="A19" zoomScale="115" zoomScaleSheetLayoutView="115" workbookViewId="0">
      <selection activeCell="O24" sqref="O24"/>
    </sheetView>
  </sheetViews>
  <sheetFormatPr defaultRowHeight="12.75"/>
  <cols>
    <col min="1" max="1" width="1.5703125" style="254" customWidth="1"/>
    <col min="2" max="2" width="9.140625" style="254" customWidth="1"/>
    <col min="3" max="3" width="12.28515625" style="254" customWidth="1"/>
    <col min="4" max="4" width="9.140625" style="254" customWidth="1"/>
    <col min="5" max="5" width="14.7109375" style="254" customWidth="1"/>
    <col min="6" max="6" width="9.140625" style="254" customWidth="1"/>
    <col min="7" max="7" width="2" style="254" customWidth="1"/>
    <col min="8" max="8" width="9.140625" style="254"/>
    <col min="9" max="9" width="14.7109375" style="254" customWidth="1"/>
    <col min="10" max="10" width="9.140625" style="254"/>
    <col min="11" max="11" width="14.5703125" style="254" customWidth="1"/>
    <col min="12" max="12" width="16.42578125" style="254" customWidth="1"/>
    <col min="13" max="16384" width="9.140625" style="254"/>
  </cols>
  <sheetData>
    <row r="1" spans="2:12" ht="24.75" customHeight="1" thickBot="1">
      <c r="B1" s="444" t="s">
        <v>239</v>
      </c>
      <c r="C1" s="445"/>
      <c r="D1" s="445"/>
      <c r="E1" s="445"/>
      <c r="F1" s="445"/>
      <c r="G1" s="445"/>
      <c r="H1" s="445"/>
      <c r="I1" s="445"/>
      <c r="J1" s="445"/>
      <c r="K1" s="445"/>
      <c r="L1" s="446"/>
    </row>
    <row r="2" spans="2:12" ht="9" customHeight="1">
      <c r="B2" s="255"/>
      <c r="C2" s="255"/>
      <c r="D2" s="255"/>
      <c r="E2" s="255"/>
      <c r="F2" s="255"/>
      <c r="G2" s="255"/>
      <c r="H2" s="255"/>
      <c r="I2" s="255"/>
      <c r="J2" s="255"/>
      <c r="K2" s="255"/>
      <c r="L2" s="255"/>
    </row>
    <row r="3" spans="2:12" ht="21.75" customHeight="1" thickBot="1">
      <c r="B3" s="447" t="s">
        <v>240</v>
      </c>
      <c r="C3" s="448"/>
      <c r="D3" s="448"/>
      <c r="E3" s="448"/>
      <c r="F3" s="448"/>
      <c r="G3" s="448"/>
      <c r="H3" s="448"/>
      <c r="I3" s="448"/>
      <c r="J3" s="448"/>
      <c r="K3" s="448"/>
      <c r="L3" s="449"/>
    </row>
    <row r="4" spans="2:12" ht="27.75" customHeight="1">
      <c r="B4" s="450" t="s">
        <v>199</v>
      </c>
      <c r="C4" s="452" t="s">
        <v>241</v>
      </c>
      <c r="D4" s="452" t="s">
        <v>242</v>
      </c>
      <c r="E4" s="452"/>
      <c r="F4" s="452"/>
      <c r="G4" s="256"/>
      <c r="H4" s="452" t="s">
        <v>243</v>
      </c>
      <c r="I4" s="452"/>
      <c r="J4" s="452"/>
      <c r="K4" s="452" t="s">
        <v>244</v>
      </c>
      <c r="L4" s="454" t="s">
        <v>245</v>
      </c>
    </row>
    <row r="5" spans="2:12" ht="68.25" customHeight="1">
      <c r="B5" s="451"/>
      <c r="C5" s="453"/>
      <c r="D5" s="257" t="s">
        <v>246</v>
      </c>
      <c r="E5" s="257" t="s">
        <v>247</v>
      </c>
      <c r="F5" s="257" t="s">
        <v>248</v>
      </c>
      <c r="G5" s="258"/>
      <c r="H5" s="257" t="s">
        <v>246</v>
      </c>
      <c r="I5" s="257" t="s">
        <v>249</v>
      </c>
      <c r="J5" s="257" t="s">
        <v>248</v>
      </c>
      <c r="K5" s="453"/>
      <c r="L5" s="455"/>
    </row>
    <row r="6" spans="2:12" s="267" customFormat="1" ht="21" customHeight="1">
      <c r="B6" s="456" t="s">
        <v>250</v>
      </c>
      <c r="C6" s="259" t="s">
        <v>251</v>
      </c>
      <c r="D6" s="260">
        <v>36</v>
      </c>
      <c r="E6" s="261">
        <v>0</v>
      </c>
      <c r="F6" s="262">
        <v>2.1144883212887988</v>
      </c>
      <c r="G6" s="263"/>
      <c r="H6" s="264">
        <v>33</v>
      </c>
      <c r="I6" s="265">
        <v>0</v>
      </c>
      <c r="J6" s="266">
        <v>2.74</v>
      </c>
      <c r="K6" s="259"/>
      <c r="L6" s="459" t="s">
        <v>252</v>
      </c>
    </row>
    <row r="7" spans="2:12" s="267" customFormat="1" ht="21" customHeight="1">
      <c r="B7" s="457"/>
      <c r="C7" s="259" t="s">
        <v>253</v>
      </c>
      <c r="D7" s="260">
        <v>16</v>
      </c>
      <c r="E7" s="261">
        <v>0</v>
      </c>
      <c r="F7" s="262">
        <v>1.755690424767635</v>
      </c>
      <c r="G7" s="263"/>
      <c r="H7" s="264">
        <v>16</v>
      </c>
      <c r="I7" s="265">
        <v>0</v>
      </c>
      <c r="J7" s="266">
        <v>0.86</v>
      </c>
      <c r="K7" s="259"/>
      <c r="L7" s="460"/>
    </row>
    <row r="8" spans="2:12" s="267" customFormat="1" ht="21" customHeight="1">
      <c r="B8" s="457"/>
      <c r="C8" s="259" t="s">
        <v>254</v>
      </c>
      <c r="D8" s="260">
        <v>17</v>
      </c>
      <c r="E8" s="261">
        <v>0</v>
      </c>
      <c r="F8" s="262">
        <v>2.1827258408254533</v>
      </c>
      <c r="G8" s="263"/>
      <c r="H8" s="264">
        <v>17</v>
      </c>
      <c r="I8" s="265">
        <v>0</v>
      </c>
      <c r="J8" s="266">
        <v>2.19</v>
      </c>
      <c r="K8" s="259"/>
      <c r="L8" s="460"/>
    </row>
    <row r="9" spans="2:12" s="267" customFormat="1" ht="21" customHeight="1">
      <c r="B9" s="457"/>
      <c r="C9" s="259" t="s">
        <v>255</v>
      </c>
      <c r="D9" s="260">
        <v>1</v>
      </c>
      <c r="E9" s="261">
        <v>0</v>
      </c>
      <c r="F9" s="262">
        <v>1.6303500884467759</v>
      </c>
      <c r="G9" s="263"/>
      <c r="H9" s="264">
        <v>1</v>
      </c>
      <c r="I9" s="265">
        <v>0</v>
      </c>
      <c r="J9" s="266">
        <v>2.34</v>
      </c>
      <c r="K9" s="259"/>
      <c r="L9" s="460"/>
    </row>
    <row r="10" spans="2:12" s="267" customFormat="1" ht="21" customHeight="1">
      <c r="B10" s="457"/>
      <c r="C10" s="259" t="s">
        <v>256</v>
      </c>
      <c r="D10" s="260">
        <v>17</v>
      </c>
      <c r="E10" s="261">
        <v>0</v>
      </c>
      <c r="F10" s="262">
        <v>0.72705021424528404</v>
      </c>
      <c r="G10" s="263"/>
      <c r="H10" s="264">
        <v>16</v>
      </c>
      <c r="I10" s="265">
        <v>0</v>
      </c>
      <c r="J10" s="266">
        <v>0.2</v>
      </c>
      <c r="K10" s="259"/>
      <c r="L10" s="460"/>
    </row>
    <row r="11" spans="2:12" s="267" customFormat="1" ht="21" customHeight="1">
      <c r="B11" s="457"/>
      <c r="C11" s="268" t="s">
        <v>257</v>
      </c>
      <c r="D11" s="269">
        <f>SUM(D6:D10)</f>
        <v>87</v>
      </c>
      <c r="E11" s="269">
        <f>SUM(E6:E10)</f>
        <v>0</v>
      </c>
      <c r="F11" s="270">
        <v>1.7514205805043506</v>
      </c>
      <c r="G11" s="271"/>
      <c r="H11" s="272">
        <v>83</v>
      </c>
      <c r="I11" s="272">
        <v>0</v>
      </c>
      <c r="J11" s="273">
        <v>1.81</v>
      </c>
      <c r="K11" s="274">
        <f>SUM(K6:K10)</f>
        <v>0</v>
      </c>
      <c r="L11" s="460"/>
    </row>
    <row r="12" spans="2:12" s="277" customFormat="1" ht="12.75" customHeight="1" thickBot="1">
      <c r="B12" s="458"/>
      <c r="C12" s="275"/>
      <c r="D12" s="462" t="s">
        <v>258</v>
      </c>
      <c r="E12" s="463"/>
      <c r="F12" s="464"/>
      <c r="G12" s="258"/>
      <c r="H12" s="462"/>
      <c r="I12" s="463"/>
      <c r="J12" s="464"/>
      <c r="K12" s="276"/>
      <c r="L12" s="461"/>
    </row>
    <row r="13" spans="2:12" s="267" customFormat="1" ht="27.75" customHeight="1">
      <c r="B13" s="450" t="s">
        <v>199</v>
      </c>
      <c r="C13" s="452" t="s">
        <v>241</v>
      </c>
      <c r="D13" s="452" t="str">
        <f>D4</f>
        <v>Q-IV-Jan to Mar-22</v>
      </c>
      <c r="E13" s="452"/>
      <c r="F13" s="452"/>
      <c r="G13" s="256"/>
      <c r="H13" s="452" t="str">
        <f>H4</f>
        <v>Q-IV-Jan to Mar-21</v>
      </c>
      <c r="I13" s="452"/>
      <c r="J13" s="452"/>
      <c r="K13" s="452" t="s">
        <v>259</v>
      </c>
      <c r="L13" s="454" t="s">
        <v>245</v>
      </c>
    </row>
    <row r="14" spans="2:12" ht="79.5" customHeight="1">
      <c r="B14" s="451"/>
      <c r="C14" s="453"/>
      <c r="D14" s="257" t="s">
        <v>246</v>
      </c>
      <c r="E14" s="257" t="s">
        <v>260</v>
      </c>
      <c r="F14" s="257" t="s">
        <v>248</v>
      </c>
      <c r="G14" s="258"/>
      <c r="H14" s="257" t="s">
        <v>246</v>
      </c>
      <c r="I14" s="257" t="s">
        <v>261</v>
      </c>
      <c r="J14" s="257" t="s">
        <v>248</v>
      </c>
      <c r="K14" s="453"/>
      <c r="L14" s="455"/>
    </row>
    <row r="15" spans="2:12" s="267" customFormat="1" ht="21" customHeight="1">
      <c r="B15" s="456" t="s">
        <v>262</v>
      </c>
      <c r="C15" s="259" t="s">
        <v>251</v>
      </c>
      <c r="D15" s="260">
        <v>19</v>
      </c>
      <c r="E15" s="261">
        <v>0</v>
      </c>
      <c r="F15" s="262">
        <v>5.8461408660230454</v>
      </c>
      <c r="G15" s="263"/>
      <c r="H15" s="264">
        <v>19</v>
      </c>
      <c r="I15" s="265">
        <v>0</v>
      </c>
      <c r="J15" s="266">
        <v>8.84</v>
      </c>
      <c r="K15" s="259">
        <v>0</v>
      </c>
      <c r="L15" s="459" t="s">
        <v>252</v>
      </c>
    </row>
    <row r="16" spans="2:12" s="267" customFormat="1" ht="21" customHeight="1">
      <c r="B16" s="457"/>
      <c r="C16" s="259" t="s">
        <v>253</v>
      </c>
      <c r="D16" s="260">
        <v>264</v>
      </c>
      <c r="E16" s="261">
        <v>0</v>
      </c>
      <c r="F16" s="262">
        <v>5.6460557386682622</v>
      </c>
      <c r="G16" s="263"/>
      <c r="H16" s="264">
        <v>256</v>
      </c>
      <c r="I16" s="265">
        <v>0</v>
      </c>
      <c r="J16" s="266">
        <v>5.89</v>
      </c>
      <c r="K16" s="259">
        <v>0</v>
      </c>
      <c r="L16" s="460"/>
    </row>
    <row r="17" spans="2:12" s="267" customFormat="1" ht="21" customHeight="1">
      <c r="B17" s="457"/>
      <c r="C17" s="259" t="s">
        <v>254</v>
      </c>
      <c r="D17" s="260">
        <v>47</v>
      </c>
      <c r="E17" s="261">
        <v>0</v>
      </c>
      <c r="F17" s="262">
        <v>4.9327002820525188</v>
      </c>
      <c r="G17" s="263"/>
      <c r="H17" s="264">
        <v>46</v>
      </c>
      <c r="I17" s="265">
        <v>0</v>
      </c>
      <c r="J17" s="266">
        <v>7.15</v>
      </c>
      <c r="K17" s="259">
        <v>0</v>
      </c>
      <c r="L17" s="460"/>
    </row>
    <row r="18" spans="2:12" s="267" customFormat="1" ht="21" customHeight="1">
      <c r="B18" s="457"/>
      <c r="C18" s="259" t="s">
        <v>255</v>
      </c>
      <c r="D18" s="260">
        <v>41</v>
      </c>
      <c r="E18" s="261">
        <v>0</v>
      </c>
      <c r="F18" s="262">
        <v>6.3120032722014194</v>
      </c>
      <c r="G18" s="263"/>
      <c r="H18" s="264">
        <v>37</v>
      </c>
      <c r="I18" s="265">
        <v>0</v>
      </c>
      <c r="J18" s="266">
        <v>8.31</v>
      </c>
      <c r="K18" s="259">
        <v>0</v>
      </c>
      <c r="L18" s="460"/>
    </row>
    <row r="19" spans="2:12" s="267" customFormat="1" ht="21" customHeight="1">
      <c r="B19" s="457"/>
      <c r="C19" s="259" t="s">
        <v>256</v>
      </c>
      <c r="D19" s="260">
        <v>47</v>
      </c>
      <c r="E19" s="261">
        <v>7</v>
      </c>
      <c r="F19" s="262">
        <v>16.203618420073916</v>
      </c>
      <c r="G19" s="263"/>
      <c r="H19" s="264">
        <v>46</v>
      </c>
      <c r="I19" s="265" t="s">
        <v>263</v>
      </c>
      <c r="J19" s="266">
        <v>20.05</v>
      </c>
      <c r="K19" s="259">
        <v>0</v>
      </c>
      <c r="L19" s="460"/>
    </row>
    <row r="20" spans="2:12" s="267" customFormat="1" ht="21" customHeight="1">
      <c r="B20" s="457"/>
      <c r="C20" s="278" t="s">
        <v>257</v>
      </c>
      <c r="D20" s="269">
        <f>SUM(D15:D19)</f>
        <v>418</v>
      </c>
      <c r="E20" s="269">
        <f>SUM(E15:E19)</f>
        <v>7</v>
      </c>
      <c r="F20" s="279">
        <v>7.014283331079338</v>
      </c>
      <c r="G20" s="271"/>
      <c r="H20" s="272">
        <f>SUM(H15:H19)</f>
        <v>404</v>
      </c>
      <c r="I20" s="280" t="s">
        <v>264</v>
      </c>
      <c r="J20" s="281">
        <v>8.32</v>
      </c>
      <c r="K20" s="257">
        <f>SUM(K15:K19)</f>
        <v>0</v>
      </c>
      <c r="L20" s="460"/>
    </row>
    <row r="21" spans="2:12" s="277" customFormat="1" ht="14.25" customHeight="1" thickBot="1">
      <c r="B21" s="458"/>
      <c r="C21" s="282"/>
      <c r="D21" s="462"/>
      <c r="E21" s="463"/>
      <c r="F21" s="464"/>
      <c r="G21" s="283"/>
      <c r="H21" s="462"/>
      <c r="I21" s="463"/>
      <c r="J21" s="464"/>
      <c r="K21" s="276"/>
      <c r="L21" s="461"/>
    </row>
    <row r="22" spans="2:12" s="267" customFormat="1" ht="27.75" customHeight="1">
      <c r="B22" s="450" t="s">
        <v>199</v>
      </c>
      <c r="C22" s="452" t="s">
        <v>241</v>
      </c>
      <c r="D22" s="452" t="str">
        <f>D13</f>
        <v>Q-IV-Jan to Mar-22</v>
      </c>
      <c r="E22" s="452"/>
      <c r="F22" s="452"/>
      <c r="G22" s="256"/>
      <c r="H22" s="452" t="str">
        <f>H13</f>
        <v>Q-IV-Jan to Mar-21</v>
      </c>
      <c r="I22" s="452"/>
      <c r="J22" s="452"/>
      <c r="K22" s="452" t="s">
        <v>265</v>
      </c>
      <c r="L22" s="454" t="s">
        <v>245</v>
      </c>
    </row>
    <row r="23" spans="2:12" ht="79.5" customHeight="1">
      <c r="B23" s="451"/>
      <c r="C23" s="453"/>
      <c r="D23" s="257" t="s">
        <v>246</v>
      </c>
      <c r="E23" s="257" t="s">
        <v>266</v>
      </c>
      <c r="F23" s="257" t="s">
        <v>248</v>
      </c>
      <c r="G23" s="258"/>
      <c r="H23" s="257" t="s">
        <v>246</v>
      </c>
      <c r="I23" s="257" t="s">
        <v>266</v>
      </c>
      <c r="J23" s="257" t="s">
        <v>248</v>
      </c>
      <c r="K23" s="453"/>
      <c r="L23" s="455"/>
    </row>
    <row r="24" spans="2:12" s="267" customFormat="1" ht="21" customHeight="1">
      <c r="B24" s="451" t="s">
        <v>267</v>
      </c>
      <c r="C24" s="259" t="s">
        <v>251</v>
      </c>
      <c r="D24" s="260">
        <v>57</v>
      </c>
      <c r="E24" s="261">
        <v>0</v>
      </c>
      <c r="F24" s="262">
        <v>2.765147918162624</v>
      </c>
      <c r="G24" s="263"/>
      <c r="H24" s="264">
        <v>56</v>
      </c>
      <c r="I24" s="265">
        <v>0</v>
      </c>
      <c r="J24" s="266">
        <v>2.69</v>
      </c>
      <c r="K24" s="259">
        <v>0</v>
      </c>
      <c r="L24" s="459" t="s">
        <v>252</v>
      </c>
    </row>
    <row r="25" spans="2:12" s="267" customFormat="1" ht="21" customHeight="1">
      <c r="B25" s="451"/>
      <c r="C25" s="259" t="s">
        <v>253</v>
      </c>
      <c r="D25" s="260">
        <v>3</v>
      </c>
      <c r="E25" s="261">
        <v>0</v>
      </c>
      <c r="F25" s="262">
        <v>1.4428698878012871</v>
      </c>
      <c r="G25" s="263"/>
      <c r="H25" s="264">
        <v>3</v>
      </c>
      <c r="I25" s="265">
        <v>0</v>
      </c>
      <c r="J25" s="266">
        <v>1.48</v>
      </c>
      <c r="K25" s="259">
        <v>0</v>
      </c>
      <c r="L25" s="460"/>
    </row>
    <row r="26" spans="2:12" s="267" customFormat="1" ht="21" customHeight="1">
      <c r="B26" s="451"/>
      <c r="C26" s="259" t="s">
        <v>254</v>
      </c>
      <c r="D26" s="260">
        <v>5</v>
      </c>
      <c r="E26" s="261">
        <v>0</v>
      </c>
      <c r="F26" s="262">
        <v>1.5388064631566154</v>
      </c>
      <c r="G26" s="263"/>
      <c r="H26" s="264">
        <v>5</v>
      </c>
      <c r="I26" s="265">
        <v>0</v>
      </c>
      <c r="J26" s="266">
        <v>2.4700000000000002</v>
      </c>
      <c r="K26" s="259">
        <v>0</v>
      </c>
      <c r="L26" s="460"/>
    </row>
    <row r="27" spans="2:12" s="267" customFormat="1" ht="21" customHeight="1">
      <c r="B27" s="451"/>
      <c r="C27" s="259" t="s">
        <v>255</v>
      </c>
      <c r="D27" s="260">
        <v>12</v>
      </c>
      <c r="E27" s="261">
        <v>0</v>
      </c>
      <c r="F27" s="262">
        <v>2.435101170398041</v>
      </c>
      <c r="G27" s="263"/>
      <c r="H27" s="264">
        <v>12</v>
      </c>
      <c r="I27" s="265">
        <v>0</v>
      </c>
      <c r="J27" s="266">
        <v>4.0199999999999996</v>
      </c>
      <c r="K27" s="259">
        <v>0</v>
      </c>
      <c r="L27" s="460"/>
    </row>
    <row r="28" spans="2:12" s="267" customFormat="1" ht="21" customHeight="1">
      <c r="B28" s="451"/>
      <c r="C28" s="259" t="s">
        <v>256</v>
      </c>
      <c r="D28" s="261">
        <v>43</v>
      </c>
      <c r="E28" s="261">
        <v>0</v>
      </c>
      <c r="F28" s="262">
        <v>1.4782011369141046</v>
      </c>
      <c r="G28" s="271"/>
      <c r="H28" s="265">
        <v>39</v>
      </c>
      <c r="I28" s="265">
        <v>0</v>
      </c>
      <c r="J28" s="266">
        <v>-1.45</v>
      </c>
      <c r="K28" s="259">
        <v>0</v>
      </c>
      <c r="L28" s="460"/>
    </row>
    <row r="29" spans="2:12" s="267" customFormat="1" ht="21" customHeight="1">
      <c r="B29" s="451"/>
      <c r="C29" s="278" t="s">
        <v>257</v>
      </c>
      <c r="D29" s="269">
        <f>SUM(D24:D28)</f>
        <v>120</v>
      </c>
      <c r="E29" s="269">
        <f>SUM(E24:E28)</f>
        <v>0</v>
      </c>
      <c r="F29" s="279">
        <v>2.2587203086563652</v>
      </c>
      <c r="G29" s="284"/>
      <c r="H29" s="272">
        <f>SUM(H24:H28)</f>
        <v>115</v>
      </c>
      <c r="I29" s="280">
        <f>SUM(I24:I28)</f>
        <v>0</v>
      </c>
      <c r="J29" s="281">
        <v>1.49</v>
      </c>
      <c r="K29" s="257">
        <f>SUM(K24:K28)</f>
        <v>0</v>
      </c>
      <c r="L29" s="460"/>
    </row>
    <row r="30" spans="2:12" s="277" customFormat="1" ht="8.25" customHeight="1" thickBot="1">
      <c r="B30" s="465"/>
      <c r="C30" s="285"/>
      <c r="D30" s="462"/>
      <c r="E30" s="463"/>
      <c r="F30" s="464"/>
      <c r="G30" s="283"/>
      <c r="H30" s="462"/>
      <c r="I30" s="463"/>
      <c r="J30" s="464"/>
      <c r="K30" s="276"/>
      <c r="L30" s="461"/>
    </row>
    <row r="31" spans="2:12" ht="62.25" customHeight="1">
      <c r="B31" s="286"/>
      <c r="C31" s="287"/>
      <c r="D31" s="287"/>
      <c r="E31" s="287"/>
      <c r="F31" s="287"/>
      <c r="G31" s="287"/>
      <c r="H31" s="287"/>
      <c r="I31" s="287"/>
      <c r="J31" s="287"/>
      <c r="K31" s="287"/>
      <c r="L31" s="287"/>
    </row>
    <row r="32" spans="2:12" ht="86.25" customHeight="1"/>
  </sheetData>
  <mergeCells count="32">
    <mergeCell ref="B24:B30"/>
    <mergeCell ref="L24:L30"/>
    <mergeCell ref="D30:F30"/>
    <mergeCell ref="H30:J30"/>
    <mergeCell ref="B15:B21"/>
    <mergeCell ref="L15:L21"/>
    <mergeCell ref="D21:F21"/>
    <mergeCell ref="H21:J21"/>
    <mergeCell ref="B22:B23"/>
    <mergeCell ref="C22:C23"/>
    <mergeCell ref="D22:F22"/>
    <mergeCell ref="H22:J22"/>
    <mergeCell ref="K22:K23"/>
    <mergeCell ref="L22:L23"/>
    <mergeCell ref="B6:B12"/>
    <mergeCell ref="L6:L12"/>
    <mergeCell ref="D12:F12"/>
    <mergeCell ref="H12:J12"/>
    <mergeCell ref="B13:B14"/>
    <mergeCell ref="C13:C14"/>
    <mergeCell ref="D13:F13"/>
    <mergeCell ref="H13:J13"/>
    <mergeCell ref="K13:K14"/>
    <mergeCell ref="L13:L14"/>
    <mergeCell ref="B1:L1"/>
    <mergeCell ref="B3:L3"/>
    <mergeCell ref="B4:B5"/>
    <mergeCell ref="C4:C5"/>
    <mergeCell ref="D4:F4"/>
    <mergeCell ref="H4:J4"/>
    <mergeCell ref="K4:K5"/>
    <mergeCell ref="L4:L5"/>
  </mergeCells>
  <printOptions horizontalCentered="1" verticalCentered="1"/>
  <pageMargins left="0.35" right="0.36" top="0" bottom="0" header="0" footer="0"/>
  <pageSetup scale="84" orientation="portrait" verticalDpi="0" r:id="rId1"/>
</worksheet>
</file>

<file path=xl/worksheets/sheet9.xml><?xml version="1.0" encoding="utf-8"?>
<worksheet xmlns="http://schemas.openxmlformats.org/spreadsheetml/2006/main" xmlns:r="http://schemas.openxmlformats.org/officeDocument/2006/relationships">
  <dimension ref="B1:S46"/>
  <sheetViews>
    <sheetView view="pageBreakPreview" topLeftCell="A4" zoomScale="115" zoomScaleSheetLayoutView="115" workbookViewId="0">
      <selection activeCell="K5" sqref="K5"/>
    </sheetView>
  </sheetViews>
  <sheetFormatPr defaultRowHeight="12.75"/>
  <cols>
    <col min="1" max="1" width="1.85546875" style="288" customWidth="1"/>
    <col min="2" max="2" width="4.7109375" style="288" customWidth="1"/>
    <col min="3" max="3" width="25.85546875" style="345" customWidth="1"/>
    <col min="4" max="4" width="5" style="288" customWidth="1"/>
    <col min="5" max="5" width="15.28515625" style="288" customWidth="1"/>
    <col min="6" max="6" width="19" style="288" customWidth="1"/>
    <col min="7" max="7" width="15.28515625" style="288" customWidth="1"/>
    <col min="8" max="8" width="15.85546875" style="288" customWidth="1"/>
    <col min="9" max="9" width="18.5703125" style="288" customWidth="1"/>
    <col min="10" max="12" width="12.5703125" style="288" customWidth="1"/>
    <col min="13" max="13" width="13.28515625" style="288" customWidth="1"/>
    <col min="14" max="17" width="12.5703125" style="288" customWidth="1"/>
    <col min="18" max="18" width="2.7109375" style="288" customWidth="1"/>
    <col min="19" max="22" width="12.5703125" style="288" customWidth="1"/>
    <col min="23" max="16384" width="9.140625" style="288"/>
  </cols>
  <sheetData>
    <row r="1" spans="2:19" ht="39" customHeight="1">
      <c r="B1" s="466" t="s">
        <v>268</v>
      </c>
      <c r="C1" s="466"/>
      <c r="D1" s="466"/>
      <c r="E1" s="466"/>
      <c r="F1" s="466"/>
      <c r="G1" s="466"/>
      <c r="H1" s="466"/>
      <c r="I1" s="466"/>
    </row>
    <row r="2" spans="2:19" ht="30.75" customHeight="1">
      <c r="B2" s="289" t="s">
        <v>269</v>
      </c>
      <c r="C2" s="290"/>
      <c r="D2" s="290"/>
      <c r="E2" s="290"/>
      <c r="F2" s="290"/>
      <c r="H2" s="290"/>
      <c r="I2" s="291" t="s">
        <v>270</v>
      </c>
    </row>
    <row r="3" spans="2:19" ht="33" customHeight="1" thickBot="1">
      <c r="B3" s="467" t="s">
        <v>271</v>
      </c>
      <c r="C3" s="467"/>
      <c r="D3" s="467"/>
      <c r="E3" s="467"/>
      <c r="F3" s="467"/>
      <c r="G3" s="467"/>
      <c r="H3" s="467"/>
      <c r="I3" s="467"/>
    </row>
    <row r="4" spans="2:19" ht="48.75" customHeight="1">
      <c r="B4" s="468" t="s">
        <v>272</v>
      </c>
      <c r="C4" s="471" t="s">
        <v>273</v>
      </c>
      <c r="D4" s="472"/>
      <c r="E4" s="292" t="s">
        <v>274</v>
      </c>
      <c r="F4" s="473" t="s">
        <v>275</v>
      </c>
      <c r="G4" s="473"/>
      <c r="H4" s="473" t="s">
        <v>276</v>
      </c>
      <c r="I4" s="474"/>
      <c r="L4" s="293"/>
    </row>
    <row r="5" spans="2:19" ht="25.5" customHeight="1">
      <c r="B5" s="469"/>
      <c r="C5" s="294" t="s">
        <v>277</v>
      </c>
      <c r="D5" s="295" t="s">
        <v>278</v>
      </c>
      <c r="E5" s="296"/>
      <c r="F5" s="475">
        <v>63189</v>
      </c>
      <c r="G5" s="475"/>
      <c r="H5" s="476">
        <v>135155</v>
      </c>
      <c r="I5" s="477"/>
      <c r="K5" s="297"/>
      <c r="L5" s="298"/>
      <c r="M5" s="298"/>
    </row>
    <row r="6" spans="2:19" ht="25.5" customHeight="1">
      <c r="B6" s="469"/>
      <c r="C6" s="294" t="s">
        <v>279</v>
      </c>
      <c r="D6" s="295" t="s">
        <v>278</v>
      </c>
      <c r="E6" s="296"/>
      <c r="F6" s="475">
        <v>17430</v>
      </c>
      <c r="G6" s="475"/>
      <c r="H6" s="476">
        <v>20836</v>
      </c>
      <c r="I6" s="477"/>
      <c r="K6" s="297"/>
      <c r="L6" s="298"/>
      <c r="M6" s="298"/>
    </row>
    <row r="7" spans="2:19" ht="25.5" customHeight="1" thickBot="1">
      <c r="B7" s="470"/>
      <c r="C7" s="299" t="s">
        <v>257</v>
      </c>
      <c r="D7" s="300" t="s">
        <v>278</v>
      </c>
      <c r="E7" s="301"/>
      <c r="F7" s="478">
        <f>SUM(F5:F6)</f>
        <v>80619</v>
      </c>
      <c r="G7" s="478"/>
      <c r="H7" s="479">
        <f>SUM(H5:H6)</f>
        <v>155991</v>
      </c>
      <c r="I7" s="480"/>
      <c r="K7" s="302"/>
    </row>
    <row r="8" spans="2:19" s="304" customFormat="1" ht="48.75" customHeight="1">
      <c r="B8" s="468" t="s">
        <v>280</v>
      </c>
      <c r="C8" s="471" t="s">
        <v>281</v>
      </c>
      <c r="D8" s="472"/>
      <c r="E8" s="292" t="s">
        <v>282</v>
      </c>
      <c r="F8" s="292" t="s">
        <v>283</v>
      </c>
      <c r="G8" s="292" t="s">
        <v>284</v>
      </c>
      <c r="H8" s="292" t="s">
        <v>285</v>
      </c>
      <c r="I8" s="303" t="s">
        <v>286</v>
      </c>
      <c r="K8" s="305"/>
      <c r="L8" s="306"/>
      <c r="M8" s="306"/>
    </row>
    <row r="9" spans="2:19" ht="25.5" customHeight="1">
      <c r="B9" s="469"/>
      <c r="C9" s="294" t="s">
        <v>277</v>
      </c>
      <c r="D9" s="295" t="s">
        <v>278</v>
      </c>
      <c r="E9" s="307">
        <v>15714</v>
      </c>
      <c r="F9" s="308">
        <v>11278</v>
      </c>
      <c r="G9" s="307">
        <f>F9+E9</f>
        <v>26992</v>
      </c>
      <c r="H9" s="308">
        <v>24598</v>
      </c>
      <c r="I9" s="309">
        <f>G9-H9</f>
        <v>2394</v>
      </c>
      <c r="K9" s="310">
        <v>2394</v>
      </c>
      <c r="L9" s="310"/>
    </row>
    <row r="10" spans="2:19" ht="25.5" customHeight="1">
      <c r="B10" s="469"/>
      <c r="C10" s="294" t="s">
        <v>279</v>
      </c>
      <c r="D10" s="295" t="s">
        <v>278</v>
      </c>
      <c r="E10" s="307">
        <v>1290</v>
      </c>
      <c r="F10" s="308">
        <v>2592</v>
      </c>
      <c r="G10" s="307">
        <f>F10+E10</f>
        <v>3882</v>
      </c>
      <c r="H10" s="308">
        <v>3277</v>
      </c>
      <c r="I10" s="309">
        <f>G10-H10</f>
        <v>605</v>
      </c>
      <c r="K10" s="310">
        <v>605</v>
      </c>
      <c r="L10" s="310"/>
    </row>
    <row r="11" spans="2:19" ht="25.5" customHeight="1" thickBot="1">
      <c r="B11" s="470"/>
      <c r="C11" s="299" t="s">
        <v>257</v>
      </c>
      <c r="D11" s="300" t="s">
        <v>278</v>
      </c>
      <c r="E11" s="311">
        <f>E9+E10</f>
        <v>17004</v>
      </c>
      <c r="F11" s="311">
        <f>F9+F10</f>
        <v>13870</v>
      </c>
      <c r="G11" s="311">
        <f t="shared" ref="G11:I11" si="0">SUM(G9:G10)</f>
        <v>30874</v>
      </c>
      <c r="H11" s="311">
        <f t="shared" si="0"/>
        <v>27875</v>
      </c>
      <c r="I11" s="312">
        <f t="shared" si="0"/>
        <v>2999</v>
      </c>
      <c r="K11" s="310"/>
      <c r="L11" s="310"/>
    </row>
    <row r="12" spans="2:19" s="313" customFormat="1" ht="50.25" customHeight="1" thickBot="1">
      <c r="B12" s="481" t="s">
        <v>287</v>
      </c>
      <c r="C12" s="482"/>
      <c r="D12" s="482"/>
      <c r="E12" s="482"/>
      <c r="F12" s="482"/>
      <c r="G12" s="482"/>
      <c r="H12" s="482"/>
      <c r="I12" s="483"/>
    </row>
    <row r="13" spans="2:19" s="313" customFormat="1" ht="30" customHeight="1">
      <c r="B13" s="314"/>
      <c r="C13" s="314"/>
      <c r="D13" s="314"/>
      <c r="E13" s="314"/>
      <c r="F13" s="314"/>
      <c r="G13" s="314"/>
      <c r="H13" s="314"/>
      <c r="I13" s="314"/>
    </row>
    <row r="14" spans="2:19" s="304" customFormat="1" ht="24.75" customHeight="1">
      <c r="E14" s="315"/>
      <c r="I14" s="316"/>
      <c r="N14" s="317"/>
      <c r="S14" s="317"/>
    </row>
    <row r="15" spans="2:19" s="304" customFormat="1" ht="26.25" customHeight="1">
      <c r="E15" s="305" t="s">
        <v>288</v>
      </c>
    </row>
    <row r="16" spans="2:19" s="304" customFormat="1" ht="44.25" customHeight="1">
      <c r="C16" s="316"/>
      <c r="E16" s="318"/>
      <c r="F16" s="319" t="s">
        <v>289</v>
      </c>
      <c r="G16" s="319" t="s">
        <v>290</v>
      </c>
      <c r="M16" s="316"/>
    </row>
    <row r="17" spans="3:19" s="304" customFormat="1" ht="20.25" customHeight="1">
      <c r="C17" s="316"/>
      <c r="E17" s="318" t="s">
        <v>291</v>
      </c>
      <c r="F17" s="320">
        <v>24683</v>
      </c>
      <c r="G17" s="320">
        <v>4086</v>
      </c>
      <c r="M17" s="316"/>
    </row>
    <row r="18" spans="3:19" s="304" customFormat="1" ht="27.75" customHeight="1">
      <c r="C18" s="316"/>
      <c r="E18" s="318" t="s">
        <v>292</v>
      </c>
      <c r="F18" s="320">
        <v>160361</v>
      </c>
      <c r="G18" s="320">
        <v>19069</v>
      </c>
    </row>
    <row r="19" spans="3:19" s="304" customFormat="1" ht="20.25" customHeight="1">
      <c r="C19" s="316"/>
      <c r="E19" s="319" t="s">
        <v>293</v>
      </c>
      <c r="F19" s="321">
        <f>SUM(F17,F18)</f>
        <v>185044</v>
      </c>
      <c r="G19" s="321">
        <f>SUM(G17,G18)</f>
        <v>23155</v>
      </c>
    </row>
    <row r="20" spans="3:19" s="304" customFormat="1" ht="20.25" customHeight="1" thickBot="1">
      <c r="C20" s="316"/>
      <c r="D20" s="316"/>
      <c r="E20" s="316"/>
      <c r="F20" s="316"/>
      <c r="G20" s="316"/>
      <c r="H20" s="316"/>
      <c r="S20" s="317"/>
    </row>
    <row r="21" spans="3:19" s="304" customFormat="1" ht="29.25" customHeight="1">
      <c r="C21" s="316"/>
      <c r="D21" s="316"/>
      <c r="E21" s="322" t="s">
        <v>294</v>
      </c>
      <c r="F21" s="323"/>
      <c r="G21" s="323"/>
      <c r="H21" s="323"/>
      <c r="I21" s="323"/>
      <c r="J21" s="324" t="s">
        <v>295</v>
      </c>
      <c r="K21" s="323"/>
      <c r="L21" s="323"/>
      <c r="M21" s="325"/>
      <c r="N21" s="324" t="s">
        <v>296</v>
      </c>
      <c r="O21" s="323"/>
      <c r="P21" s="326"/>
      <c r="S21" s="317"/>
    </row>
    <row r="22" spans="3:19" s="304" customFormat="1" ht="35.25" customHeight="1">
      <c r="C22" s="316"/>
      <c r="D22" s="316"/>
      <c r="E22" s="492" t="s">
        <v>297</v>
      </c>
      <c r="F22" s="494" t="s">
        <v>298</v>
      </c>
      <c r="G22" s="495"/>
      <c r="H22" s="496" t="s">
        <v>257</v>
      </c>
      <c r="J22" s="327"/>
      <c r="K22" s="484" t="s">
        <v>299</v>
      </c>
      <c r="L22" s="485"/>
      <c r="M22" s="316"/>
      <c r="N22" s="327"/>
      <c r="O22" s="484" t="s">
        <v>299</v>
      </c>
      <c r="P22" s="486"/>
      <c r="S22" s="317"/>
    </row>
    <row r="23" spans="3:19" s="304" customFormat="1" ht="24.75" customHeight="1">
      <c r="C23" s="316"/>
      <c r="E23" s="493"/>
      <c r="F23" s="319" t="s">
        <v>300</v>
      </c>
      <c r="G23" s="319" t="s">
        <v>301</v>
      </c>
      <c r="H23" s="497"/>
      <c r="J23" s="328"/>
      <c r="K23" s="329" t="s">
        <v>300</v>
      </c>
      <c r="L23" s="329" t="s">
        <v>301</v>
      </c>
      <c r="N23" s="328"/>
      <c r="O23" s="329" t="s">
        <v>300</v>
      </c>
      <c r="P23" s="330" t="s">
        <v>301</v>
      </c>
      <c r="S23" s="317"/>
    </row>
    <row r="24" spans="3:19" s="304" customFormat="1" ht="24" customHeight="1">
      <c r="C24" s="316"/>
      <c r="E24" s="331" t="s">
        <v>302</v>
      </c>
      <c r="F24" s="332">
        <f>K24-O24</f>
        <v>66025</v>
      </c>
      <c r="G24" s="332">
        <f>L24-P24</f>
        <v>6345</v>
      </c>
      <c r="H24" s="332">
        <f>F24+G24</f>
        <v>72370</v>
      </c>
      <c r="J24" s="333" t="s">
        <v>302</v>
      </c>
      <c r="K24" s="334">
        <v>189756</v>
      </c>
      <c r="L24" s="334">
        <v>22568</v>
      </c>
      <c r="N24" s="333" t="s">
        <v>302</v>
      </c>
      <c r="O24" s="334">
        <v>123731</v>
      </c>
      <c r="P24" s="335">
        <v>16223</v>
      </c>
      <c r="S24" s="317"/>
    </row>
    <row r="25" spans="3:19" s="304" customFormat="1" ht="13.5" thickBot="1">
      <c r="C25" s="316"/>
      <c r="E25" s="336" t="s">
        <v>303</v>
      </c>
      <c r="F25" s="337">
        <f>K25-O25</f>
        <v>11483</v>
      </c>
      <c r="G25" s="337">
        <f>L25-P25</f>
        <v>2405</v>
      </c>
      <c r="H25" s="337">
        <f>F25+G25</f>
        <v>13888</v>
      </c>
      <c r="I25" s="338"/>
      <c r="J25" s="339" t="s">
        <v>303</v>
      </c>
      <c r="K25" s="340">
        <v>31242</v>
      </c>
      <c r="L25" s="340">
        <v>9126</v>
      </c>
      <c r="M25" s="338"/>
      <c r="N25" s="339" t="s">
        <v>303</v>
      </c>
      <c r="O25" s="340">
        <v>19759</v>
      </c>
      <c r="P25" s="341">
        <v>6721</v>
      </c>
      <c r="S25" s="342"/>
    </row>
    <row r="26" spans="3:19" s="304" customFormat="1">
      <c r="C26" s="316"/>
      <c r="S26" s="342"/>
    </row>
    <row r="27" spans="3:19" s="304" customFormat="1" ht="13.5" thickBot="1">
      <c r="C27" s="316"/>
      <c r="N27" s="342"/>
      <c r="S27" s="342"/>
    </row>
    <row r="28" spans="3:19" s="304" customFormat="1" ht="15">
      <c r="C28" s="316"/>
      <c r="E28" s="487" t="s">
        <v>304</v>
      </c>
      <c r="F28" s="489" t="s">
        <v>305</v>
      </c>
      <c r="G28" s="490"/>
      <c r="H28" s="490"/>
      <c r="I28" s="491"/>
      <c r="J28" s="489" t="s">
        <v>303</v>
      </c>
      <c r="K28" s="490"/>
      <c r="L28" s="490"/>
      <c r="M28" s="491"/>
      <c r="N28" s="343"/>
      <c r="O28" s="344"/>
      <c r="S28" s="342"/>
    </row>
    <row r="29" spans="3:19" ht="45">
      <c r="E29" s="488"/>
      <c r="F29" s="346" t="s">
        <v>306</v>
      </c>
      <c r="G29" s="347" t="s">
        <v>307</v>
      </c>
      <c r="H29" s="347" t="s">
        <v>308</v>
      </c>
      <c r="I29" s="348" t="s">
        <v>309</v>
      </c>
      <c r="J29" s="346" t="s">
        <v>306</v>
      </c>
      <c r="K29" s="347" t="s">
        <v>307</v>
      </c>
      <c r="L29" s="347" t="s">
        <v>308</v>
      </c>
      <c r="M29" s="348" t="s">
        <v>309</v>
      </c>
      <c r="N29" s="346" t="s">
        <v>310</v>
      </c>
      <c r="O29" s="348" t="s">
        <v>311</v>
      </c>
    </row>
    <row r="30" spans="3:19" ht="15">
      <c r="E30" s="349" t="s">
        <v>312</v>
      </c>
      <c r="F30" s="350">
        <v>12468</v>
      </c>
      <c r="G30" s="351">
        <v>9325</v>
      </c>
      <c r="H30" s="351">
        <v>5703</v>
      </c>
      <c r="I30" s="352">
        <v>16090</v>
      </c>
      <c r="J30" s="353">
        <v>2673</v>
      </c>
      <c r="K30" s="354">
        <v>2221</v>
      </c>
      <c r="L30" s="354">
        <v>1333</v>
      </c>
      <c r="M30" s="355">
        <v>3561</v>
      </c>
      <c r="N30" s="353">
        <v>5703</v>
      </c>
      <c r="O30" s="355">
        <v>1333</v>
      </c>
    </row>
    <row r="31" spans="3:19" ht="15">
      <c r="E31" s="349" t="s">
        <v>313</v>
      </c>
      <c r="F31" s="350">
        <v>16314</v>
      </c>
      <c r="G31" s="351">
        <v>5396</v>
      </c>
      <c r="H31" s="351">
        <v>4518</v>
      </c>
      <c r="I31" s="352">
        <v>17192</v>
      </c>
      <c r="J31" s="353">
        <v>3561</v>
      </c>
      <c r="K31" s="354">
        <v>1401</v>
      </c>
      <c r="L31" s="354">
        <v>1002</v>
      </c>
      <c r="M31" s="355">
        <v>3960</v>
      </c>
      <c r="N31" s="353">
        <v>10221</v>
      </c>
      <c r="O31" s="355">
        <v>2335</v>
      </c>
    </row>
    <row r="32" spans="3:19" ht="15">
      <c r="E32" s="349" t="s">
        <v>314</v>
      </c>
      <c r="F32" s="350">
        <v>18572</v>
      </c>
      <c r="G32" s="351">
        <v>8425</v>
      </c>
      <c r="H32" s="351">
        <v>6110</v>
      </c>
      <c r="I32" s="352">
        <v>20887</v>
      </c>
      <c r="J32" s="353">
        <v>3996</v>
      </c>
      <c r="K32" s="354">
        <v>3813</v>
      </c>
      <c r="L32" s="354">
        <v>1386</v>
      </c>
      <c r="M32" s="355">
        <v>6423</v>
      </c>
      <c r="N32" s="353">
        <v>16331</v>
      </c>
      <c r="O32" s="355">
        <v>3721</v>
      </c>
    </row>
    <row r="33" spans="5:15" ht="15">
      <c r="E33" s="356" t="s">
        <v>315</v>
      </c>
      <c r="F33" s="357">
        <f>SUM(F30:F32)</f>
        <v>47354</v>
      </c>
      <c r="G33" s="358">
        <f t="shared" ref="G33:H33" si="1">SUM(G30:G32)</f>
        <v>23146</v>
      </c>
      <c r="H33" s="359">
        <f t="shared" si="1"/>
        <v>16331</v>
      </c>
      <c r="I33" s="360">
        <f>I32</f>
        <v>20887</v>
      </c>
      <c r="J33" s="357">
        <f>SUM(J30:J32)</f>
        <v>10230</v>
      </c>
      <c r="K33" s="358">
        <f>SUM(K30:K32)</f>
        <v>7435</v>
      </c>
      <c r="L33" s="359">
        <f t="shared" ref="L33" si="2">SUM(L30:L32)</f>
        <v>3721</v>
      </c>
      <c r="M33" s="360">
        <f>M32</f>
        <v>6423</v>
      </c>
      <c r="N33" s="353"/>
      <c r="O33" s="355"/>
    </row>
    <row r="34" spans="5:15" ht="15">
      <c r="E34" s="349" t="s">
        <v>316</v>
      </c>
      <c r="F34" s="361">
        <v>10657</v>
      </c>
      <c r="G34" s="362">
        <v>3928</v>
      </c>
      <c r="H34" s="362">
        <v>5745</v>
      </c>
      <c r="I34" s="363">
        <v>8840</v>
      </c>
      <c r="J34" s="353">
        <v>1269</v>
      </c>
      <c r="K34" s="354">
        <v>524</v>
      </c>
      <c r="L34" s="354">
        <v>916</v>
      </c>
      <c r="M34" s="355">
        <v>877</v>
      </c>
      <c r="N34" s="353">
        <v>22076</v>
      </c>
      <c r="O34" s="355">
        <v>4637</v>
      </c>
    </row>
    <row r="35" spans="5:15" ht="15">
      <c r="E35" s="349" t="s">
        <v>317</v>
      </c>
      <c r="F35" s="361">
        <v>10087</v>
      </c>
      <c r="G35" s="362">
        <v>5656</v>
      </c>
      <c r="H35" s="362">
        <v>9630</v>
      </c>
      <c r="I35" s="363">
        <v>6113</v>
      </c>
      <c r="J35" s="353">
        <v>1519</v>
      </c>
      <c r="K35" s="354">
        <v>754</v>
      </c>
      <c r="L35" s="354">
        <v>1818</v>
      </c>
      <c r="M35" s="355">
        <v>455</v>
      </c>
      <c r="N35" s="353">
        <v>31706</v>
      </c>
      <c r="O35" s="355">
        <v>6455</v>
      </c>
    </row>
    <row r="36" spans="5:15" ht="15">
      <c r="E36" s="349" t="s">
        <v>318</v>
      </c>
      <c r="F36" s="361">
        <v>8313</v>
      </c>
      <c r="G36" s="362">
        <v>6454</v>
      </c>
      <c r="H36" s="362">
        <v>9415</v>
      </c>
      <c r="I36" s="363">
        <v>5352</v>
      </c>
      <c r="J36" s="353">
        <v>2061</v>
      </c>
      <c r="K36" s="354">
        <v>819</v>
      </c>
      <c r="L36" s="354">
        <v>2291</v>
      </c>
      <c r="M36" s="355">
        <v>589</v>
      </c>
      <c r="N36" s="353">
        <v>41121</v>
      </c>
      <c r="O36" s="355">
        <v>8746</v>
      </c>
    </row>
    <row r="37" spans="5:15" ht="15">
      <c r="E37" s="356" t="s">
        <v>319</v>
      </c>
      <c r="F37" s="357">
        <f>SUM(F34:F36)</f>
        <v>29057</v>
      </c>
      <c r="G37" s="358">
        <f t="shared" ref="G37:H37" si="3">SUM(G34:G36)</f>
        <v>16038</v>
      </c>
      <c r="H37" s="359">
        <f t="shared" si="3"/>
        <v>24790</v>
      </c>
      <c r="I37" s="360">
        <f>I36</f>
        <v>5352</v>
      </c>
      <c r="J37" s="357">
        <f>SUM(J34:J36)</f>
        <v>4849</v>
      </c>
      <c r="K37" s="358">
        <f>SUM(K34:K36)</f>
        <v>2097</v>
      </c>
      <c r="L37" s="359">
        <f t="shared" ref="L37" si="4">SUM(L34:L36)</f>
        <v>5025</v>
      </c>
      <c r="M37" s="360">
        <f>M36</f>
        <v>589</v>
      </c>
      <c r="N37" s="353"/>
      <c r="O37" s="355"/>
    </row>
    <row r="38" spans="5:15" ht="15">
      <c r="E38" s="349" t="s">
        <v>320</v>
      </c>
      <c r="F38" s="350">
        <v>4200</v>
      </c>
      <c r="G38" s="351">
        <v>8007</v>
      </c>
      <c r="H38" s="351">
        <v>8235</v>
      </c>
      <c r="I38" s="352">
        <v>3972</v>
      </c>
      <c r="J38" s="353">
        <v>551</v>
      </c>
      <c r="K38" s="354">
        <v>585</v>
      </c>
      <c r="L38" s="354">
        <v>659</v>
      </c>
      <c r="M38" s="355">
        <v>477</v>
      </c>
      <c r="N38" s="353">
        <v>49356</v>
      </c>
      <c r="O38" s="355">
        <v>9405</v>
      </c>
    </row>
    <row r="39" spans="5:15" ht="15">
      <c r="E39" s="349" t="s">
        <v>321</v>
      </c>
      <c r="F39" s="350">
        <v>3972</v>
      </c>
      <c r="G39" s="351">
        <v>9012</v>
      </c>
      <c r="H39" s="351">
        <v>8955</v>
      </c>
      <c r="I39" s="352">
        <v>4029</v>
      </c>
      <c r="J39" s="353">
        <v>477</v>
      </c>
      <c r="K39" s="354">
        <v>1229</v>
      </c>
      <c r="L39" s="354">
        <v>1214</v>
      </c>
      <c r="M39" s="355">
        <v>492</v>
      </c>
      <c r="N39" s="353">
        <v>58311</v>
      </c>
      <c r="O39" s="355">
        <v>10619</v>
      </c>
    </row>
    <row r="40" spans="5:15" ht="15">
      <c r="E40" s="349" t="s">
        <v>322</v>
      </c>
      <c r="F40" s="350">
        <v>4024</v>
      </c>
      <c r="G40" s="351">
        <v>11036</v>
      </c>
      <c r="H40" s="351">
        <v>9986</v>
      </c>
      <c r="I40" s="352">
        <v>5074</v>
      </c>
      <c r="J40" s="353">
        <v>511</v>
      </c>
      <c r="K40" s="354">
        <v>1403</v>
      </c>
      <c r="L40" s="354">
        <v>1257</v>
      </c>
      <c r="M40" s="355">
        <v>657</v>
      </c>
      <c r="N40" s="353">
        <v>68314</v>
      </c>
      <c r="O40" s="355">
        <v>11876</v>
      </c>
    </row>
    <row r="41" spans="5:15" ht="15">
      <c r="E41" s="356" t="s">
        <v>323</v>
      </c>
      <c r="F41" s="357">
        <f>SUM(F38:F40)</f>
        <v>12196</v>
      </c>
      <c r="G41" s="358">
        <f t="shared" ref="G41:L41" si="5">SUM(G38:G40)</f>
        <v>28055</v>
      </c>
      <c r="H41" s="359">
        <f t="shared" si="5"/>
        <v>27176</v>
      </c>
      <c r="I41" s="360">
        <f>I40</f>
        <v>5074</v>
      </c>
      <c r="J41" s="357">
        <f t="shared" si="5"/>
        <v>1539</v>
      </c>
      <c r="K41" s="358">
        <f t="shared" si="5"/>
        <v>3217</v>
      </c>
      <c r="L41" s="359">
        <f t="shared" si="5"/>
        <v>3130</v>
      </c>
      <c r="M41" s="360">
        <f>M40</f>
        <v>657</v>
      </c>
      <c r="N41" s="364"/>
      <c r="O41" s="365"/>
    </row>
    <row r="42" spans="5:15" ht="15">
      <c r="E42" s="349" t="s">
        <v>324</v>
      </c>
      <c r="F42" s="350">
        <v>4280</v>
      </c>
      <c r="G42" s="351">
        <v>8479</v>
      </c>
      <c r="H42" s="351">
        <v>8523</v>
      </c>
      <c r="I42" s="352">
        <v>4236</v>
      </c>
      <c r="J42" s="353">
        <v>561</v>
      </c>
      <c r="K42" s="354">
        <v>1067</v>
      </c>
      <c r="L42" s="354">
        <v>1000</v>
      </c>
      <c r="M42" s="355">
        <v>628</v>
      </c>
      <c r="N42" s="364">
        <v>76837</v>
      </c>
      <c r="O42" s="365">
        <v>12876</v>
      </c>
    </row>
    <row r="43" spans="5:15" ht="15">
      <c r="E43" s="349" t="s">
        <v>325</v>
      </c>
      <c r="F43" s="350">
        <v>3945</v>
      </c>
      <c r="G43" s="351">
        <v>7510</v>
      </c>
      <c r="H43" s="351">
        <v>8958</v>
      </c>
      <c r="I43" s="352">
        <v>2497</v>
      </c>
      <c r="J43" s="353">
        <v>640</v>
      </c>
      <c r="K43" s="354">
        <v>1179</v>
      </c>
      <c r="L43" s="354">
        <v>1105</v>
      </c>
      <c r="M43" s="355">
        <v>714</v>
      </c>
      <c r="N43" s="364">
        <v>85795</v>
      </c>
      <c r="O43" s="365">
        <v>13981</v>
      </c>
    </row>
    <row r="44" spans="5:15" ht="15">
      <c r="E44" s="349" t="s">
        <v>326</v>
      </c>
      <c r="F44" s="350">
        <v>2501</v>
      </c>
      <c r="G44" s="351">
        <v>7010</v>
      </c>
      <c r="H44" s="351">
        <v>7117</v>
      </c>
      <c r="I44" s="352">
        <v>2394</v>
      </c>
      <c r="J44" s="353">
        <v>714</v>
      </c>
      <c r="K44" s="354">
        <v>1063</v>
      </c>
      <c r="L44" s="354">
        <v>1172</v>
      </c>
      <c r="M44" s="355">
        <v>605</v>
      </c>
      <c r="N44" s="364">
        <v>92912</v>
      </c>
      <c r="O44" s="365">
        <v>15153</v>
      </c>
    </row>
    <row r="45" spans="5:15" ht="15">
      <c r="E45" s="356" t="s">
        <v>327</v>
      </c>
      <c r="F45" s="357">
        <f>SUM(F42:F44)</f>
        <v>10726</v>
      </c>
      <c r="G45" s="358">
        <f t="shared" ref="G45:H45" si="6">SUM(G42:G44)</f>
        <v>22999</v>
      </c>
      <c r="H45" s="359">
        <f t="shared" si="6"/>
        <v>24598</v>
      </c>
      <c r="I45" s="360">
        <f>I44</f>
        <v>2394</v>
      </c>
      <c r="J45" s="357">
        <f>SUM(J42:J44)</f>
        <v>1915</v>
      </c>
      <c r="K45" s="358">
        <f t="shared" ref="K45:L45" si="7">SUM(K42:K44)</f>
        <v>3309</v>
      </c>
      <c r="L45" s="359">
        <f t="shared" si="7"/>
        <v>3277</v>
      </c>
      <c r="M45" s="360">
        <f>M44</f>
        <v>605</v>
      </c>
      <c r="N45" s="364"/>
      <c r="O45" s="365"/>
    </row>
    <row r="46" spans="5:15" ht="15.75" thickBot="1">
      <c r="E46" s="366" t="s">
        <v>328</v>
      </c>
      <c r="F46" s="367">
        <f>SUM(F45,F41,F37,F33)</f>
        <v>99333</v>
      </c>
      <c r="G46" s="368">
        <f t="shared" ref="G46:H46" si="8">SUM(G45,G41,G37,G33)</f>
        <v>90238</v>
      </c>
      <c r="H46" s="368">
        <f t="shared" si="8"/>
        <v>92895</v>
      </c>
      <c r="I46" s="369"/>
      <c r="J46" s="367">
        <f>SUM(J45,J41,J37,J33)</f>
        <v>18533</v>
      </c>
      <c r="K46" s="368">
        <f t="shared" ref="K46:L46" si="9">SUM(K45,K41,K37,K33)</f>
        <v>16058</v>
      </c>
      <c r="L46" s="368">
        <f t="shared" si="9"/>
        <v>15153</v>
      </c>
      <c r="M46" s="369"/>
      <c r="N46" s="370"/>
      <c r="O46" s="371"/>
    </row>
  </sheetData>
  <mergeCells count="23">
    <mergeCell ref="E28:E29"/>
    <mergeCell ref="F28:I28"/>
    <mergeCell ref="J28:M28"/>
    <mergeCell ref="E22:E23"/>
    <mergeCell ref="F22:G22"/>
    <mergeCell ref="H22:H23"/>
    <mergeCell ref="B8:B11"/>
    <mergeCell ref="C8:D8"/>
    <mergeCell ref="B12:I12"/>
    <mergeCell ref="K22:L22"/>
    <mergeCell ref="O22:P22"/>
    <mergeCell ref="B1:I1"/>
    <mergeCell ref="B3:I3"/>
    <mergeCell ref="B4:B7"/>
    <mergeCell ref="C4:D4"/>
    <mergeCell ref="F4:G4"/>
    <mergeCell ref="H4:I4"/>
    <mergeCell ref="F5:G5"/>
    <mergeCell ref="H5:I5"/>
    <mergeCell ref="F6:G6"/>
    <mergeCell ref="H6:I6"/>
    <mergeCell ref="F7:G7"/>
    <mergeCell ref="H7:I7"/>
  </mergeCells>
  <printOptions horizontalCentered="1" verticalCentered="1"/>
  <pageMargins left="0.70866141732283472" right="0.70866141732283472" top="0.74803149606299213" bottom="0.74803149606299213" header="0.31496062992125984" footer="0.31496062992125984"/>
  <pageSetup paperSize="9" orientation="landscape" blackAndWhite="1"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8</vt:i4>
      </vt:variant>
    </vt:vector>
  </HeadingPairs>
  <TitlesOfParts>
    <vt:vector size="18" baseType="lpstr">
      <vt:lpstr>SHEET-1</vt:lpstr>
      <vt:lpstr>SHEET-2</vt:lpstr>
      <vt:lpstr>SHEET-3</vt:lpstr>
      <vt:lpstr>SHEET-4</vt:lpstr>
      <vt:lpstr>SHEET-5</vt:lpstr>
      <vt:lpstr>SHEET-6</vt:lpstr>
      <vt:lpstr>SHEET-7</vt:lpstr>
      <vt:lpstr>T&amp;D</vt:lpstr>
      <vt:lpstr>Meter tesing &amp; defective Q42122</vt:lpstr>
      <vt:lpstr>Sheet1</vt:lpstr>
      <vt:lpstr>'Meter tesing &amp; defective Q42122'!Print_Area</vt:lpstr>
      <vt:lpstr>'SHEET-1'!Print_Area</vt:lpstr>
      <vt:lpstr>'SHEET-3'!Print_Area</vt:lpstr>
      <vt:lpstr>'SHEET-4'!Print_Area</vt:lpstr>
      <vt:lpstr>'SHEET-5'!Print_Area</vt:lpstr>
      <vt:lpstr>'SHEET-6'!Print_Area</vt:lpstr>
      <vt:lpstr>'SHEET-7'!Print_Area</vt:lpstr>
      <vt:lpstr>'T&amp;D'!Print_Area</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ujparikh3442</cp:lastModifiedBy>
  <cp:lastPrinted>2022-06-13T06:22:09Z</cp:lastPrinted>
  <dcterms:created xsi:type="dcterms:W3CDTF">1996-10-14T23:33:28Z</dcterms:created>
  <dcterms:modified xsi:type="dcterms:W3CDTF">2022-07-01T06:24:56Z</dcterms:modified>
</cp:coreProperties>
</file>