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2120" windowHeight="9120" tabRatio="915" activeTab="5"/>
  </bookViews>
  <sheets>
    <sheet name="Glance" sheetId="40" r:id="rId1"/>
    <sheet name="REVENUE DATA " sheetId="42" r:id="rId2"/>
    <sheet name="Trail Balance" sheetId="43" state="hidden" r:id="rId3"/>
    <sheet name="Financial Data " sheetId="41" r:id="rId4"/>
    <sheet name="Meter Testing" sheetId="44" r:id="rId5"/>
    <sheet name="T&amp;D" sheetId="45" r:id="rId6"/>
  </sheets>
  <externalReferences>
    <externalReference r:id="rId7"/>
    <externalReference r:id="rId8"/>
    <externalReference r:id="rId9"/>
  </externalReferences>
  <definedNames>
    <definedName name="___INDEX_SHEET___ASAP_Utilities" localSheetId="3">#REF!</definedName>
    <definedName name="___INDEX_SHEET___ASAP_Utilities" localSheetId="0">#REF!</definedName>
    <definedName name="___INDEX_SHEET___ASAP_Utilities">#REF!</definedName>
    <definedName name="_AA1" localSheetId="3">#REF!</definedName>
    <definedName name="_AA1" localSheetId="0">#REF!</definedName>
    <definedName name="_AA1">#REF!</definedName>
    <definedName name="_Fill" localSheetId="3" hidden="1">#REF!</definedName>
    <definedName name="_Fill" localSheetId="0" hidden="1">#REF!</definedName>
    <definedName name="_Fill" hidden="1">#REF!</definedName>
    <definedName name="_xlnm._FilterDatabase" localSheetId="3" hidden="1">'Financial Data '!$G$27:$J$30</definedName>
    <definedName name="AA" localSheetId="3">#REF!</definedName>
    <definedName name="AA" localSheetId="0">#REF!</definedName>
    <definedName name="AA" localSheetId="1">#REF!</definedName>
    <definedName name="AA">#REF!</definedName>
    <definedName name="aaa" localSheetId="3">#REF!</definedName>
    <definedName name="aaa" localSheetId="0">#REF!</definedName>
    <definedName name="aaa">#REF!</definedName>
    <definedName name="AGRI" localSheetId="3">#REF!</definedName>
    <definedName name="AGRI" localSheetId="0">#REF!</definedName>
    <definedName name="AGRI">#REF!</definedName>
    <definedName name="Banks">#REF!</definedName>
    <definedName name="Banks_3">"$#REF!.$E$22:$E$35"</definedName>
    <definedName name="Banks_4" localSheetId="3">#REF!</definedName>
    <definedName name="Banks_4" localSheetId="0">#REF!</definedName>
    <definedName name="Banks_4">#REF!</definedName>
    <definedName name="Blood_Group" localSheetId="3">#REF!</definedName>
    <definedName name="Blood_Group" localSheetId="0">#REF!</definedName>
    <definedName name="Blood_Group">#REF!</definedName>
    <definedName name="Blood_Group_3">"$#REF!.$C$2:$C$9"</definedName>
    <definedName name="Blood_Group_4" localSheetId="3">#REF!</definedName>
    <definedName name="Blood_Group_4" localSheetId="0">#REF!</definedName>
    <definedName name="Blood_Group_4">#REF!</definedName>
    <definedName name="Branch" localSheetId="3">#REF!</definedName>
    <definedName name="Branch" localSheetId="0">#REF!</definedName>
    <definedName name="Branch">#REF!</definedName>
    <definedName name="Branch_3">"$#REF!.$E$27:$E$27"</definedName>
    <definedName name="Branch_4" localSheetId="3">#REF!</definedName>
    <definedName name="Branch_4" localSheetId="0">#REF!</definedName>
    <definedName name="Branch_4">#REF!</definedName>
    <definedName name="Caste" localSheetId="3">#REF!</definedName>
    <definedName name="Caste" localSheetId="0">#REF!</definedName>
    <definedName name="Caste">#REF!</definedName>
    <definedName name="Caste_3">"$#REF!.$A$8:$A$12"</definedName>
    <definedName name="Caste_4" localSheetId="3">#REF!</definedName>
    <definedName name="Caste_4" localSheetId="0">#REF!</definedName>
    <definedName name="Caste_4">#REF!</definedName>
    <definedName name="CLASS" localSheetId="3">#REF!</definedName>
    <definedName name="CLASS" localSheetId="0">#REF!</definedName>
    <definedName name="CLASS">#REF!</definedName>
    <definedName name="CLASS_3">"$#REF!.$B$32:$B$35"</definedName>
    <definedName name="CLASS_4" localSheetId="3">#REF!</definedName>
    <definedName name="CLASS_4" localSheetId="0">#REF!</definedName>
    <definedName name="CLASS_4">#REF!</definedName>
    <definedName name="comp" localSheetId="3">#REF!</definedName>
    <definedName name="comp" localSheetId="0">#REF!</definedName>
    <definedName name="comp">#REF!</definedName>
    <definedName name="data" localSheetId="3">#REF!</definedName>
    <definedName name="data" localSheetId="0">#REF!</definedName>
    <definedName name="data">#REF!</definedName>
    <definedName name="_xlnm.Database">#REF!</definedName>
    <definedName name="Database1">#REF!</definedName>
    <definedName name="dep_pm">#REF!</definedName>
    <definedName name="Departments">#REF!</definedName>
    <definedName name="Departments_3">"$#REF!.$A$37:$A$44"</definedName>
    <definedName name="Departments_4" localSheetId="3">#REF!</definedName>
    <definedName name="Departments_4" localSheetId="0">#REF!</definedName>
    <definedName name="Departments_4">#REF!</definedName>
    <definedName name="depcom_pa" localSheetId="3">#REF!</definedName>
    <definedName name="depcom_pa" localSheetId="0">#REF!</definedName>
    <definedName name="depcom_pa">#REF!</definedName>
    <definedName name="depsch_pa" localSheetId="3">#REF!</definedName>
    <definedName name="depsch_pa" localSheetId="0">#REF!</definedName>
    <definedName name="depsch_pa">#REF!</definedName>
    <definedName name="depveh_pa">#REF!</definedName>
    <definedName name="Designation">#REF!</definedName>
    <definedName name="Designation_3">"$#REF!.$F$2:$F$396"</definedName>
    <definedName name="Designation_4" localSheetId="3">#REF!</definedName>
    <definedName name="Designation_4" localSheetId="0">#REF!</definedName>
    <definedName name="Designation_4">#REF!</definedName>
    <definedName name="Disability" localSheetId="3">#REF!</definedName>
    <definedName name="Disability" localSheetId="0">#REF!</definedName>
    <definedName name="Disability">#REF!</definedName>
    <definedName name="Disability_3">"$#REF!.$B$8:$B$17"</definedName>
    <definedName name="Disability_4" localSheetId="3">#REF!</definedName>
    <definedName name="Disability_4" localSheetId="0">#REF!</definedName>
    <definedName name="Disability_4">#REF!</definedName>
    <definedName name="Disability_perc" localSheetId="3">#REF!</definedName>
    <definedName name="Disability_perc" localSheetId="0">#REF!</definedName>
    <definedName name="Disability_perc">#REF!</definedName>
    <definedName name="Disability_perc_3">"$#REF!.$B$20:$B$28"</definedName>
    <definedName name="Disability_perc_4" localSheetId="3">#REF!</definedName>
    <definedName name="Disability_perc_4" localSheetId="0">#REF!</definedName>
    <definedName name="Disability_perc_4">#REF!</definedName>
    <definedName name="Division" localSheetId="3">#REF!</definedName>
    <definedName name="Division" localSheetId="0">#REF!</definedName>
    <definedName name="Division">#REF!</definedName>
    <definedName name="Division_3">"$#REF!.$G$2:$G$8"</definedName>
    <definedName name="Division_4" localSheetId="3">#REF!</definedName>
    <definedName name="Division_4" localSheetId="0">#REF!</definedName>
    <definedName name="Division_4">#REF!</definedName>
    <definedName name="ed" localSheetId="3">#REF!</definedName>
    <definedName name="ed" localSheetId="0">#REF!</definedName>
    <definedName name="ed">#REF!</definedName>
    <definedName name="Emp_Type" localSheetId="3">#REF!</definedName>
    <definedName name="Emp_Type" localSheetId="0">#REF!</definedName>
    <definedName name="Emp_Type">#REF!</definedName>
    <definedName name="Emp_Type_3">"$#REF!.$B$38:$B$41"</definedName>
    <definedName name="Emp_Type_4" localSheetId="3">#REF!</definedName>
    <definedName name="Emp_Type_4" localSheetId="0">#REF!</definedName>
    <definedName name="Emp_Type_4">#REF!</definedName>
    <definedName name="Excel_BuiltIn__FilterDatabase_15" localSheetId="3">#REF!</definedName>
    <definedName name="Excel_BuiltIn__FilterDatabase_15" localSheetId="0">#REF!</definedName>
    <definedName name="Excel_BuiltIn__FilterDatabase_15">#REF!</definedName>
    <definedName name="Excel_BuiltIn__FilterDatabase_15_4" localSheetId="3">#REF!</definedName>
    <definedName name="Excel_BuiltIn__FilterDatabase_15_4" localSheetId="0">#REF!</definedName>
    <definedName name="Excel_BuiltIn__FilterDatabase_15_4">#REF!</definedName>
    <definedName name="Excel_BuiltIn_Print_Area_9">#REF!</definedName>
    <definedName name="Excel_BuiltIn_Print_Titles_7">#REF!</definedName>
    <definedName name="Excel_BuiltIn_Print_Titles_9_1">#REF!</definedName>
    <definedName name="FF_945_956">#REF!</definedName>
    <definedName name="FF_967">#REF!</definedName>
    <definedName name="gr_agri">#REF!</definedName>
    <definedName name="gr_agri1">#REF!</definedName>
    <definedName name="gr_dom">#REF!</definedName>
    <definedName name="gr_iaf">#REF!</definedName>
    <definedName name="gr_lip">#REF!</definedName>
    <definedName name="gr_mlht">#REF!</definedName>
    <definedName name="gr_ndlt1">#REF!</definedName>
    <definedName name="gr_ndlt2">#REF!</definedName>
    <definedName name="gr_pl">#REF!</definedName>
    <definedName name="gr_pw">#REF!</definedName>
    <definedName name="gr_rail">#REF!</definedName>
    <definedName name="gr_sip">#REF!</definedName>
    <definedName name="Grade">#REF!</definedName>
    <definedName name="Grade_3">"$#REF!.$E$2:$E$18"</definedName>
    <definedName name="Grade_4" localSheetId="3">#REF!</definedName>
    <definedName name="Grade_4" localSheetId="0">#REF!</definedName>
    <definedName name="Grade_4">#REF!</definedName>
    <definedName name="hr" localSheetId="3">#REF!</definedName>
    <definedName name="hr" localSheetId="0">#REF!</definedName>
    <definedName name="hr">#REF!</definedName>
    <definedName name="HTML_CodePage" hidden="1">1252</definedName>
    <definedName name="HTML_Control" localSheetId="3" hidden="1">{"'Sheet1'!$A$4386:$N$4591"}</definedName>
    <definedName name="HTML_Control" localSheetId="0" hidden="1">{"'Sheet1'!$A$4386:$N$4591"}</definedName>
    <definedName name="HTML_Control" localSheetId="1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Locations" localSheetId="3">#REF!</definedName>
    <definedName name="Locations" localSheetId="0">#REF!</definedName>
    <definedName name="Locations">#REF!</definedName>
    <definedName name="Locations_3">"$#REF!.$G$10:$G$42"</definedName>
    <definedName name="Locations_4" localSheetId="3">#REF!</definedName>
    <definedName name="Locations_4" localSheetId="0">#REF!</definedName>
    <definedName name="Locations_4">#REF!</definedName>
    <definedName name="Mother_Tongue" localSheetId="3">#REF!</definedName>
    <definedName name="Mother_Tongue" localSheetId="0">#REF!</definedName>
    <definedName name="Mother_Tongue">#REF!</definedName>
    <definedName name="Mother_Tongue_3">"$#REF!.$A$16:$A$35"</definedName>
    <definedName name="Mother_Tongue_4" localSheetId="3">#REF!</definedName>
    <definedName name="Mother_Tongue_4" localSheetId="0">#REF!</definedName>
    <definedName name="Mother_Tongue_4">#REF!</definedName>
    <definedName name="PA" localSheetId="3">#REF!</definedName>
    <definedName name="PA" localSheetId="0">#REF!</definedName>
    <definedName name="PA">#REF!</definedName>
    <definedName name="PA_DET" localSheetId="3">#REF!</definedName>
    <definedName name="PA_DET" localSheetId="0">#REF!</definedName>
    <definedName name="PA_DET">#REF!</definedName>
    <definedName name="PA_SCH3">#REF!</definedName>
    <definedName name="PA_SCH4_5">#REF!</definedName>
    <definedName name="_xlnm.Print_Area" localSheetId="3">'Financial Data '!$A$1:$J$40</definedName>
    <definedName name="_xlnm.Print_Area" localSheetId="0">Glance!$A$1:$J$86</definedName>
    <definedName name="_xlnm.Print_Area" localSheetId="1">'REVENUE DATA '!$A$1:$M$118</definedName>
    <definedName name="qwasds" localSheetId="3">#REF!</definedName>
    <definedName name="qwasds" localSheetId="0">#REF!</definedName>
    <definedName name="qwasds" localSheetId="1">#REF!</definedName>
    <definedName name="qwasds">#REF!</definedName>
    <definedName name="qwasdx" localSheetId="3">#REF!</definedName>
    <definedName name="qwasdx" localSheetId="0">#REF!</definedName>
    <definedName name="qwasdx">#REF!</definedName>
    <definedName name="qwasewd" localSheetId="3">#REF!</definedName>
    <definedName name="qwasewd" localSheetId="0">#REF!</definedName>
    <definedName name="qwasewd">#REF!</definedName>
    <definedName name="qwedf">#REF!</definedName>
    <definedName name="qwedsxa">#REF!</definedName>
    <definedName name="qwesdf">#REF!</definedName>
    <definedName name="qwsd">#REF!</definedName>
    <definedName name="qwsdscf">#REF!</definedName>
    <definedName name="qwsedf">#REF!</definedName>
    <definedName name="qwseds">#REF!</definedName>
    <definedName name="S_14">#REF!</definedName>
    <definedName name="sad">#REF!</definedName>
    <definedName name="sadf">#REF!</definedName>
    <definedName name="SAS">#REF!</definedName>
    <definedName name="sasLLDLKS">#REF!</definedName>
    <definedName name="Security_Costs_Rate">[1]Assumptions!#REF!</definedName>
    <definedName name="Security_Rate">[1]Assumptions!#REF!</definedName>
    <definedName name="ss" localSheetId="3">#REF!</definedName>
    <definedName name="ss" localSheetId="0">#REF!</definedName>
    <definedName name="ss" localSheetId="1">#REF!</definedName>
    <definedName name="ss">#REF!</definedName>
    <definedName name="State" localSheetId="3">#REF!</definedName>
    <definedName name="State" localSheetId="0">#REF!</definedName>
    <definedName name="State">#REF!</definedName>
    <definedName name="State_3">"$#REF!.$D$2:$D$38"</definedName>
    <definedName name="State_4" localSheetId="3">#REF!</definedName>
    <definedName name="State_4" localSheetId="0">#REF!</definedName>
    <definedName name="State_4">#REF!</definedName>
    <definedName name="swdfc" localSheetId="3">#REF!</definedName>
    <definedName name="swdfc" localSheetId="0">#REF!</definedName>
    <definedName name="swdfc">#REF!</definedName>
    <definedName name="tf_agri" localSheetId="3">#REF!</definedName>
    <definedName name="tf_agri" localSheetId="0">#REF!</definedName>
    <definedName name="tf_agri">#REF!</definedName>
    <definedName name="tf_dom">#REF!</definedName>
    <definedName name="tf_iaf">#REF!</definedName>
    <definedName name="tf_lip">#REF!</definedName>
    <definedName name="tf_mlht">#REF!</definedName>
    <definedName name="tf_ndlt1">#REF!</definedName>
    <definedName name="tf_ndlt2">#REF!</definedName>
    <definedName name="tf_pl">#REF!</definedName>
    <definedName name="tf_pw">#REF!</definedName>
    <definedName name="tf_rail">#REF!</definedName>
    <definedName name="tf_sip">#REF!</definedName>
    <definedName name="Title">#REF!</definedName>
    <definedName name="Title_3">"$#REF!.$A$2:$A$6"</definedName>
    <definedName name="Title_4" localSheetId="3">#REF!</definedName>
    <definedName name="Title_4" localSheetId="0">#REF!</definedName>
    <definedName name="Title_4">#REF!</definedName>
    <definedName name="Union" localSheetId="3">#REF!</definedName>
    <definedName name="Union" localSheetId="0">#REF!</definedName>
    <definedName name="Union">#REF!</definedName>
    <definedName name="Union_3">"$#REF!.$C$12:$C$19"</definedName>
    <definedName name="Union_4" localSheetId="3">#REF!</definedName>
    <definedName name="Union_4" localSheetId="0">#REF!</definedName>
    <definedName name="Union_4">#REF!</definedName>
    <definedName name="we" localSheetId="3">#REF!</definedName>
    <definedName name="we" localSheetId="0">#REF!</definedName>
    <definedName name="we">#REF!</definedName>
    <definedName name="WEEDFC" localSheetId="3">#REF!</definedName>
    <definedName name="WEEDFC" localSheetId="0">#REF!</definedName>
    <definedName name="WEEDFC">#REF!</definedName>
    <definedName name="werf">#REF!</definedName>
    <definedName name="wess">#REF!</definedName>
    <definedName name="WQ">#REF!</definedName>
    <definedName name="WQEDF">#REF!</definedName>
    <definedName name="WQEE">#REF!</definedName>
    <definedName name="wsds">#REF!</definedName>
    <definedName name="wses">#REF!</definedName>
    <definedName name="Yes_no">#REF!</definedName>
    <definedName name="Yes_no_3">"$#REF!.$B$2:$B$4"</definedName>
  </definedNames>
  <calcPr calcId="125725"/>
</workbook>
</file>

<file path=xl/calcChain.xml><?xml version="1.0" encoding="utf-8"?>
<calcChain xmlns="http://schemas.openxmlformats.org/spreadsheetml/2006/main">
  <c r="G26" i="45"/>
  <c r="D26"/>
  <c r="C26"/>
  <c r="G19"/>
  <c r="D19"/>
  <c r="C19"/>
  <c r="G14"/>
  <c r="F14"/>
  <c r="E14"/>
  <c r="G12"/>
  <c r="D12"/>
  <c r="C12"/>
  <c r="G7"/>
  <c r="F7"/>
  <c r="E7"/>
  <c r="A3"/>
  <c r="A2"/>
  <c r="A3" i="44"/>
  <c r="A2"/>
  <c r="H31" i="41" l="1"/>
  <c r="H24" l="1"/>
  <c r="L71" i="40"/>
  <c r="L68"/>
  <c r="L67"/>
  <c r="H56"/>
  <c r="G26" i="41" l="1"/>
  <c r="G25"/>
  <c r="H77" i="40"/>
  <c r="J81"/>
  <c r="H75"/>
  <c r="F75"/>
  <c r="F33"/>
  <c r="F30"/>
  <c r="F24" i="41" l="1"/>
  <c r="F77" i="40"/>
  <c r="E77" s="1"/>
  <c r="E81"/>
  <c r="I81" s="1"/>
  <c r="E80"/>
  <c r="E75"/>
  <c r="E73" l="1"/>
  <c r="E71"/>
  <c r="E70"/>
  <c r="E69"/>
  <c r="E68"/>
  <c r="E67"/>
  <c r="E66"/>
  <c r="E11" l="1"/>
  <c r="F10"/>
  <c r="M87" i="42"/>
  <c r="M89" s="1"/>
  <c r="M90" s="1"/>
  <c r="L99"/>
  <c r="L97"/>
  <c r="L79"/>
  <c r="L88"/>
  <c r="L102" s="1"/>
  <c r="L86"/>
  <c r="F86" s="1"/>
  <c r="L85"/>
  <c r="N85" s="1"/>
  <c r="L84"/>
  <c r="N84" s="1"/>
  <c r="L83"/>
  <c r="N83" s="1"/>
  <c r="L80"/>
  <c r="C832" i="43"/>
  <c r="C830"/>
  <c r="C828"/>
  <c r="C827"/>
  <c r="C826"/>
  <c r="C825"/>
  <c r="C823"/>
  <c r="C822"/>
  <c r="C821"/>
  <c r="C819"/>
  <c r="C818"/>
  <c r="C817"/>
  <c r="C815"/>
  <c r="C814"/>
  <c r="C813"/>
  <c r="C812"/>
  <c r="C811"/>
  <c r="C810"/>
  <c r="C808"/>
  <c r="C806"/>
  <c r="C805"/>
  <c r="C804"/>
  <c r="N87" i="42" l="1"/>
  <c r="L81"/>
  <c r="N86"/>
  <c r="L100"/>
  <c r="N88"/>
  <c r="L98"/>
  <c r="N79"/>
  <c r="F83"/>
  <c r="L87"/>
  <c r="L89" s="1"/>
  <c r="L90" s="1"/>
  <c r="F84"/>
  <c r="F85"/>
  <c r="E52"/>
  <c r="E50"/>
  <c r="N100" s="1"/>
  <c r="E49"/>
  <c r="N99" s="1"/>
  <c r="E48"/>
  <c r="N98" s="1"/>
  <c r="E47"/>
  <c r="N97" s="1"/>
  <c r="F43"/>
  <c r="L93" s="1"/>
  <c r="K51"/>
  <c r="K53" s="1"/>
  <c r="K46"/>
  <c r="E32"/>
  <c r="F23"/>
  <c r="E23" s="1"/>
  <c r="K26"/>
  <c r="K31"/>
  <c r="K33" s="1"/>
  <c r="E9"/>
  <c r="F9" s="1"/>
  <c r="E18"/>
  <c r="K12"/>
  <c r="N89" l="1"/>
  <c r="N90" s="1"/>
  <c r="E43"/>
  <c r="N93" s="1"/>
  <c r="N102"/>
  <c r="E79"/>
  <c r="K54"/>
  <c r="F79"/>
  <c r="K34"/>
  <c r="H34" i="40"/>
  <c r="G34"/>
  <c r="G116" i="42" l="1"/>
  <c r="G114"/>
  <c r="G112"/>
  <c r="G111"/>
  <c r="G82" i="40"/>
  <c r="H82"/>
  <c r="H23" i="41" l="1"/>
  <c r="H22"/>
  <c r="G20"/>
  <c r="H19"/>
  <c r="H18"/>
  <c r="H14"/>
  <c r="H9"/>
  <c r="G9"/>
  <c r="H8"/>
  <c r="G8"/>
  <c r="H7"/>
  <c r="G7"/>
  <c r="G19"/>
  <c r="G22"/>
  <c r="G23"/>
  <c r="G18"/>
  <c r="G14"/>
  <c r="H20" l="1"/>
  <c r="G113" i="42"/>
  <c r="G82" l="1"/>
  <c r="H82"/>
  <c r="E88"/>
  <c r="E102" l="1"/>
  <c r="E93"/>
  <c r="F66"/>
  <c r="J47"/>
  <c r="F102"/>
  <c r="N23"/>
  <c r="F93"/>
  <c r="J10" i="40"/>
  <c r="I10"/>
  <c r="H14"/>
  <c r="F14"/>
  <c r="I77"/>
  <c r="I92"/>
  <c r="G94"/>
  <c r="F8" i="41"/>
  <c r="J8" s="1"/>
  <c r="E51" i="42"/>
  <c r="N101" s="1"/>
  <c r="E8" i="41"/>
  <c r="I8" s="1"/>
  <c r="F9"/>
  <c r="J9" s="1"/>
  <c r="I68" i="40"/>
  <c r="I67"/>
  <c r="H110" i="42"/>
  <c r="E17"/>
  <c r="F23" i="41"/>
  <c r="J23" s="1"/>
  <c r="F20"/>
  <c r="F37"/>
  <c r="F35"/>
  <c r="J70" i="40"/>
  <c r="F22" i="41"/>
  <c r="J22" s="1"/>
  <c r="I52" i="42"/>
  <c r="I48"/>
  <c r="I32"/>
  <c r="G31"/>
  <c r="J9"/>
  <c r="F14" i="41"/>
  <c r="J14" s="1"/>
  <c r="E12" i="42"/>
  <c r="F12"/>
  <c r="G110"/>
  <c r="H112"/>
  <c r="G42" i="40"/>
  <c r="G63" s="1"/>
  <c r="G5" i="42" s="1"/>
  <c r="G39" s="1"/>
  <c r="G75" s="1"/>
  <c r="G3" i="41" s="1"/>
  <c r="E42" i="40"/>
  <c r="E63" s="1"/>
  <c r="E5" i="42" s="1"/>
  <c r="E39" s="1"/>
  <c r="E75" s="1"/>
  <c r="E3" i="41" s="1"/>
  <c r="H44" i="40"/>
  <c r="F16" i="42"/>
  <c r="J16" s="1"/>
  <c r="F19" i="41"/>
  <c r="J19" s="1"/>
  <c r="F15" i="42"/>
  <c r="J15" s="1"/>
  <c r="F14"/>
  <c r="J14" s="1"/>
  <c r="F13"/>
  <c r="E24" i="41"/>
  <c r="H26" i="42"/>
  <c r="G26"/>
  <c r="G17"/>
  <c r="G19" s="1"/>
  <c r="G12"/>
  <c r="E14" i="40"/>
  <c r="E21" s="1"/>
  <c r="E22" s="1"/>
  <c r="H66" i="42"/>
  <c r="G66"/>
  <c r="G64"/>
  <c r="G63"/>
  <c r="G62"/>
  <c r="G61"/>
  <c r="G51"/>
  <c r="G53" s="1"/>
  <c r="G60"/>
  <c r="G44" i="40"/>
  <c r="G14"/>
  <c r="G46" s="1"/>
  <c r="G51" s="1"/>
  <c r="G5" i="41"/>
  <c r="I91" i="42"/>
  <c r="I21"/>
  <c r="F18"/>
  <c r="I18"/>
  <c r="I15"/>
  <c r="I13"/>
  <c r="I9"/>
  <c r="I14"/>
  <c r="I47"/>
  <c r="H5" i="41"/>
  <c r="I5"/>
  <c r="J5"/>
  <c r="F5"/>
  <c r="E5"/>
  <c r="J44" i="40"/>
  <c r="J65"/>
  <c r="J7" i="42" s="1"/>
  <c r="J41" s="1"/>
  <c r="I44" i="40"/>
  <c r="I65" s="1"/>
  <c r="I7" i="42" s="1"/>
  <c r="J30" i="41"/>
  <c r="I30"/>
  <c r="I28"/>
  <c r="G27"/>
  <c r="H16"/>
  <c r="H27" s="1"/>
  <c r="G16"/>
  <c r="H10"/>
  <c r="G10"/>
  <c r="J84" i="40"/>
  <c r="G74"/>
  <c r="G83" s="1"/>
  <c r="J68"/>
  <c r="H65"/>
  <c r="H7" i="42" s="1"/>
  <c r="H77" s="1"/>
  <c r="G65" i="40"/>
  <c r="G7" i="42" s="1"/>
  <c r="G41" s="1"/>
  <c r="G77" s="1"/>
  <c r="F65" i="40"/>
  <c r="F7" i="42" s="1"/>
  <c r="E65" i="40"/>
  <c r="E7" i="42" s="1"/>
  <c r="E41" s="1"/>
  <c r="E77" s="1"/>
  <c r="F44" i="40"/>
  <c r="E44"/>
  <c r="J33"/>
  <c r="J30"/>
  <c r="I30"/>
  <c r="I11"/>
  <c r="I16" i="42"/>
  <c r="I50"/>
  <c r="J66" i="40"/>
  <c r="J32" i="42"/>
  <c r="E116"/>
  <c r="I116" s="1"/>
  <c r="E66"/>
  <c r="E23" i="41"/>
  <c r="I23" s="1"/>
  <c r="I71" i="40"/>
  <c r="F18" i="41"/>
  <c r="J18" s="1"/>
  <c r="I33" i="40"/>
  <c r="E22" i="41"/>
  <c r="I22" s="1"/>
  <c r="I70" i="40"/>
  <c r="I49" i="42"/>
  <c r="H74" i="40"/>
  <c r="J67"/>
  <c r="I69"/>
  <c r="E19" i="41"/>
  <c r="I19" s="1"/>
  <c r="I75" i="40"/>
  <c r="I66"/>
  <c r="E14" i="41"/>
  <c r="I14" s="1"/>
  <c r="E20"/>
  <c r="I20" s="1"/>
  <c r="J75" i="40"/>
  <c r="F74"/>
  <c r="J71"/>
  <c r="J69"/>
  <c r="J80"/>
  <c r="I80"/>
  <c r="E9" i="41"/>
  <c r="I9" s="1"/>
  <c r="J77" i="40"/>
  <c r="I23" i="42"/>
  <c r="E26"/>
  <c r="E107"/>
  <c r="E110" s="1"/>
  <c r="E74" i="40"/>
  <c r="E18" i="41"/>
  <c r="I18" s="1"/>
  <c r="H83" i="40" l="1"/>
  <c r="L74"/>
  <c r="J52" i="42"/>
  <c r="H113"/>
  <c r="H63"/>
  <c r="H116"/>
  <c r="H111"/>
  <c r="F26"/>
  <c r="I26"/>
  <c r="G115"/>
  <c r="F107"/>
  <c r="F110" s="1"/>
  <c r="J110" s="1"/>
  <c r="F16" i="41"/>
  <c r="F27" s="1"/>
  <c r="E57" i="42"/>
  <c r="I57" s="1"/>
  <c r="J26"/>
  <c r="H17"/>
  <c r="H114"/>
  <c r="J20" i="41"/>
  <c r="E96" i="42"/>
  <c r="G20"/>
  <c r="H29" i="41"/>
  <c r="I74" i="40"/>
  <c r="E83"/>
  <c r="I83" s="1"/>
  <c r="J74"/>
  <c r="F83"/>
  <c r="J83" s="1"/>
  <c r="I41" i="42"/>
  <c r="I77"/>
  <c r="J18"/>
  <c r="H19"/>
  <c r="I17"/>
  <c r="I12"/>
  <c r="F17"/>
  <c r="E19"/>
  <c r="J13"/>
  <c r="H64"/>
  <c r="F116"/>
  <c r="H41"/>
  <c r="J77"/>
  <c r="I110"/>
  <c r="I43"/>
  <c r="I66"/>
  <c r="H12"/>
  <c r="J12" s="1"/>
  <c r="E46"/>
  <c r="J48"/>
  <c r="G46"/>
  <c r="G54" s="1"/>
  <c r="F82"/>
  <c r="J82" s="1"/>
  <c r="H62"/>
  <c r="G65"/>
  <c r="J50"/>
  <c r="H51"/>
  <c r="H53" s="1"/>
  <c r="I51"/>
  <c r="J49"/>
  <c r="F51"/>
  <c r="L101" s="1"/>
  <c r="E53"/>
  <c r="N103" s="1"/>
  <c r="H60"/>
  <c r="H54" i="40" s="1"/>
  <c r="H46" i="42"/>
  <c r="F96"/>
  <c r="F46"/>
  <c r="J43"/>
  <c r="F57"/>
  <c r="J66"/>
  <c r="F88"/>
  <c r="J88" s="1"/>
  <c r="H61"/>
  <c r="H31"/>
  <c r="I107"/>
  <c r="J23"/>
  <c r="G33"/>
  <c r="G117" s="1"/>
  <c r="G54" i="40"/>
  <c r="F46"/>
  <c r="F51" s="1"/>
  <c r="F21"/>
  <c r="I14"/>
  <c r="H46"/>
  <c r="H51" s="1"/>
  <c r="J11"/>
  <c r="E46"/>
  <c r="E51" s="1"/>
  <c r="I51" s="1"/>
  <c r="J14"/>
  <c r="J16" i="41"/>
  <c r="E16"/>
  <c r="E27" s="1"/>
  <c r="E60" i="42" l="1"/>
  <c r="E54" i="40" s="1"/>
  <c r="N96" i="42"/>
  <c r="J107"/>
  <c r="I46"/>
  <c r="J46"/>
  <c r="J116"/>
  <c r="F22" i="40"/>
  <c r="J22" s="1"/>
  <c r="H115" i="42"/>
  <c r="I54" i="40"/>
  <c r="J17" i="42"/>
  <c r="J27" i="41"/>
  <c r="J51" i="40"/>
  <c r="H20" i="42"/>
  <c r="F19"/>
  <c r="F20" s="1"/>
  <c r="E20"/>
  <c r="I20" s="1"/>
  <c r="I19"/>
  <c r="J79"/>
  <c r="E82"/>
  <c r="I82" s="1"/>
  <c r="I79"/>
  <c r="I102"/>
  <c r="I88"/>
  <c r="H65"/>
  <c r="H54"/>
  <c r="J51"/>
  <c r="F53"/>
  <c r="E54"/>
  <c r="N104" s="1"/>
  <c r="I53"/>
  <c r="J57"/>
  <c r="F60"/>
  <c r="H33"/>
  <c r="H117" s="1"/>
  <c r="G67"/>
  <c r="G55" i="40" s="1"/>
  <c r="G34" i="42"/>
  <c r="G118" s="1"/>
  <c r="I22" i="40"/>
  <c r="I21"/>
  <c r="J21"/>
  <c r="J46"/>
  <c r="I46"/>
  <c r="I16" i="41"/>
  <c r="J53" i="42" l="1"/>
  <c r="L103"/>
  <c r="I60"/>
  <c r="J19"/>
  <c r="AJ22" i="40"/>
  <c r="H67" i="42"/>
  <c r="H55" i="40" s="1"/>
  <c r="J102" i="42"/>
  <c r="G96"/>
  <c r="I96" s="1"/>
  <c r="I93"/>
  <c r="J20"/>
  <c r="F54"/>
  <c r="S54"/>
  <c r="E31" i="40"/>
  <c r="I54" i="42"/>
  <c r="F54" i="40"/>
  <c r="J54" s="1"/>
  <c r="J60" i="42"/>
  <c r="H34"/>
  <c r="H118" s="1"/>
  <c r="G68"/>
  <c r="G56" i="40" s="1"/>
  <c r="I27" i="41"/>
  <c r="L54" i="42" l="1"/>
  <c r="F79" i="40"/>
  <c r="L104" i="42"/>
  <c r="H96"/>
  <c r="J96" s="1"/>
  <c r="J93"/>
  <c r="H68"/>
  <c r="J54"/>
  <c r="F31" i="40"/>
  <c r="F29" s="1"/>
  <c r="J29" s="1"/>
  <c r="Q54" i="42"/>
  <c r="E29" i="40"/>
  <c r="I29" s="1"/>
  <c r="I31"/>
  <c r="H25"/>
  <c r="F7" i="41" l="1"/>
  <c r="E79" i="40"/>
  <c r="E82" s="1"/>
  <c r="J31"/>
  <c r="F34"/>
  <c r="F10" i="41"/>
  <c r="I79" i="40"/>
  <c r="E7" i="41" l="1"/>
  <c r="J34" i="40"/>
  <c r="E34"/>
  <c r="J35"/>
  <c r="J7" i="41"/>
  <c r="F82" i="40"/>
  <c r="F32"/>
  <c r="J32" s="1"/>
  <c r="J79"/>
  <c r="F89"/>
  <c r="F90" s="1"/>
  <c r="F95"/>
  <c r="J90"/>
  <c r="I82"/>
  <c r="E92"/>
  <c r="E10" i="41"/>
  <c r="I7"/>
  <c r="E35" i="40" l="1"/>
  <c r="E32"/>
  <c r="F31" i="41"/>
  <c r="J82" i="40"/>
  <c r="I10" i="41"/>
  <c r="E29"/>
  <c r="F29" l="1"/>
  <c r="F38" s="1"/>
  <c r="J10"/>
  <c r="J27" i="42" l="1"/>
  <c r="J83"/>
  <c r="F61"/>
  <c r="J61" s="1"/>
  <c r="F97"/>
  <c r="J97" s="1"/>
  <c r="F111"/>
  <c r="J111" s="1"/>
  <c r="E27"/>
  <c r="E111" s="1"/>
  <c r="I111" s="1"/>
  <c r="E83" l="1"/>
  <c r="I83" s="1"/>
  <c r="I27"/>
  <c r="E61"/>
  <c r="I61" s="1"/>
  <c r="E97"/>
  <c r="I97" s="1"/>
  <c r="J28"/>
  <c r="J84"/>
  <c r="F112"/>
  <c r="J112" s="1"/>
  <c r="F62"/>
  <c r="F98"/>
  <c r="J98" s="1"/>
  <c r="E28"/>
  <c r="J62" l="1"/>
  <c r="I28"/>
  <c r="E112"/>
  <c r="I112" s="1"/>
  <c r="E62"/>
  <c r="E98"/>
  <c r="I98" s="1"/>
  <c r="E84"/>
  <c r="I84" s="1"/>
  <c r="I62" l="1"/>
  <c r="J29"/>
  <c r="F99"/>
  <c r="J99" s="1"/>
  <c r="F113"/>
  <c r="J113" s="1"/>
  <c r="J85"/>
  <c r="F63"/>
  <c r="J63" s="1"/>
  <c r="E29"/>
  <c r="E99" s="1"/>
  <c r="I99" s="1"/>
  <c r="J30"/>
  <c r="E86"/>
  <c r="I86" s="1"/>
  <c r="E114"/>
  <c r="I114" s="1"/>
  <c r="F64"/>
  <c r="J64" s="1"/>
  <c r="J86"/>
  <c r="F100"/>
  <c r="J100" s="1"/>
  <c r="F31"/>
  <c r="F65" s="1"/>
  <c r="J65" s="1"/>
  <c r="F114"/>
  <c r="J114" s="1"/>
  <c r="E30"/>
  <c r="I30" s="1"/>
  <c r="E100"/>
  <c r="I100" s="1"/>
  <c r="J101" l="1"/>
  <c r="E85"/>
  <c r="I85" s="1"/>
  <c r="E63"/>
  <c r="I63" s="1"/>
  <c r="E113"/>
  <c r="I113" s="1"/>
  <c r="I101"/>
  <c r="E64"/>
  <c r="I64" s="1"/>
  <c r="I29"/>
  <c r="F33"/>
  <c r="F103" s="1"/>
  <c r="J103" s="1"/>
  <c r="J31"/>
  <c r="F101"/>
  <c r="E31"/>
  <c r="F115"/>
  <c r="J115" s="1"/>
  <c r="F87"/>
  <c r="J87" s="1"/>
  <c r="F67" l="1"/>
  <c r="J67" s="1"/>
  <c r="F117"/>
  <c r="J117" s="1"/>
  <c r="F89"/>
  <c r="J89" s="1"/>
  <c r="J33"/>
  <c r="F34"/>
  <c r="I31"/>
  <c r="E65"/>
  <c r="E115"/>
  <c r="I115" s="1"/>
  <c r="E33"/>
  <c r="E87"/>
  <c r="I87" s="1"/>
  <c r="E101"/>
  <c r="F55" i="40" l="1"/>
  <c r="J55" s="1"/>
  <c r="F23"/>
  <c r="F104" i="42"/>
  <c r="J104" s="1"/>
  <c r="F68"/>
  <c r="F69" s="1"/>
  <c r="F90"/>
  <c r="J90" s="1"/>
  <c r="F118"/>
  <c r="J118" s="1"/>
  <c r="J34"/>
  <c r="E95"/>
  <c r="E89"/>
  <c r="I89" s="1"/>
  <c r="E117"/>
  <c r="I117" s="1"/>
  <c r="E94"/>
  <c r="E67"/>
  <c r="I33"/>
  <c r="E103"/>
  <c r="I103" s="1"/>
  <c r="E34"/>
  <c r="I65"/>
  <c r="J68" l="1"/>
  <c r="F56" i="40"/>
  <c r="J56" s="1"/>
  <c r="J23"/>
  <c r="F24"/>
  <c r="F25" s="1"/>
  <c r="E55"/>
  <c r="I55" s="1"/>
  <c r="I67" i="42"/>
  <c r="N34"/>
  <c r="E68"/>
  <c r="I34"/>
  <c r="E104"/>
  <c r="I104" s="1"/>
  <c r="E23" i="40"/>
  <c r="E118" i="42"/>
  <c r="I118" s="1"/>
  <c r="E90"/>
  <c r="I90" s="1"/>
  <c r="E56" i="40" l="1"/>
  <c r="I56" s="1"/>
  <c r="I68" i="42"/>
  <c r="I23" i="40"/>
  <c r="E24"/>
  <c r="E69" i="42"/>
  <c r="I69" s="1"/>
  <c r="I32" i="40"/>
  <c r="I34"/>
  <c r="I35"/>
</calcChain>
</file>

<file path=xl/sharedStrings.xml><?xml version="1.0" encoding="utf-8"?>
<sst xmlns="http://schemas.openxmlformats.org/spreadsheetml/2006/main" count="1598" uniqueCount="1315">
  <si>
    <t>Agriculture</t>
  </si>
  <si>
    <t>III  -  SALES AND REVENUE DATA</t>
  </si>
  <si>
    <t>NO.OF CONSUMERS AND UNITS SOLD</t>
  </si>
  <si>
    <t>Page : 5</t>
  </si>
  <si>
    <t>% change</t>
  </si>
  <si>
    <t xml:space="preserve">                                                                                            </t>
  </si>
  <si>
    <t>(A)</t>
  </si>
  <si>
    <t>No. of consumers</t>
  </si>
  <si>
    <t>HT</t>
  </si>
  <si>
    <t>EHT</t>
  </si>
  <si>
    <t>Licensees</t>
  </si>
  <si>
    <t>Total HT + EHT</t>
  </si>
  <si>
    <t>Total LT excluding agriculture</t>
  </si>
  <si>
    <t>Total LT including agriculture</t>
  </si>
  <si>
    <t>Total HT + EHT + LT</t>
  </si>
  <si>
    <t>(B)</t>
  </si>
  <si>
    <t>No. of units sold</t>
  </si>
  <si>
    <t>M.KWH</t>
  </si>
  <si>
    <t>Agriculture ( Un meter + Meter )</t>
  </si>
  <si>
    <t>SALES REVENUE AMOUNT &amp; PAISE/UNIT</t>
  </si>
  <si>
    <t>Page : 6</t>
  </si>
  <si>
    <t>(C)</t>
  </si>
  <si>
    <t>Sales revenue</t>
  </si>
  <si>
    <t>Rs.crores</t>
  </si>
  <si>
    <t>(D)</t>
  </si>
  <si>
    <t>Sales realisation</t>
  </si>
  <si>
    <t>Paise / kwh</t>
  </si>
  <si>
    <t>SALES REVENUE FIXED AND ENERGY CHARGE PAISE/UNIT AND UNITS SOLD PER CONSUMER</t>
  </si>
  <si>
    <t>Page : 7</t>
  </si>
  <si>
    <t>(E)</t>
  </si>
  <si>
    <t>Sales realisation - fixed charge ( Demand charge )</t>
  </si>
  <si>
    <t>(F)</t>
  </si>
  <si>
    <t>Sales realisation - energy charge</t>
  </si>
  <si>
    <t>(G)</t>
  </si>
  <si>
    <t>Units sold per consumer</t>
  </si>
  <si>
    <t>kwh</t>
  </si>
  <si>
    <t>Other (P.ltg+W.W)</t>
  </si>
  <si>
    <t>RGP</t>
  </si>
  <si>
    <t>I  -  KEY PARAMETERS</t>
  </si>
  <si>
    <t>POWER SUPPLY POSITION - 1</t>
  </si>
  <si>
    <t>Page : 1</t>
  </si>
  <si>
    <t>Sr No</t>
  </si>
  <si>
    <t>I</t>
  </si>
  <si>
    <t>Power Purchase</t>
  </si>
  <si>
    <t>Purchase from IPPs/CPPs/Solar</t>
  </si>
  <si>
    <t>MUs</t>
  </si>
  <si>
    <t>Purchase from Central sector  (a) Share</t>
  </si>
  <si>
    <t>(b) Actual purchase</t>
  </si>
  <si>
    <t>Total purchase of power (net)</t>
  </si>
  <si>
    <t>II</t>
  </si>
  <si>
    <t>Energy Balance sheet:</t>
  </si>
  <si>
    <t>Total generation + purchase of power</t>
  </si>
  <si>
    <t>Units sent out</t>
  </si>
  <si>
    <t>Metered + Estimated unmetered sales</t>
  </si>
  <si>
    <t>T &amp; D loss(2-3)*</t>
  </si>
  <si>
    <t>T &amp; D loss (4)/(2)*100</t>
  </si>
  <si>
    <t>%</t>
  </si>
  <si>
    <t>III</t>
  </si>
  <si>
    <t>Sales,billing &amp; realisation:</t>
  </si>
  <si>
    <t>Billed - metered + unmetered</t>
  </si>
  <si>
    <r>
      <rPr>
        <b/>
        <sz val="12"/>
        <rFont val="Rupee Foradian"/>
        <family val="2"/>
      </rPr>
      <t xml:space="preserve">` </t>
    </r>
    <r>
      <rPr>
        <b/>
        <sz val="12"/>
        <rFont val="Tahoma"/>
        <family val="2"/>
      </rPr>
      <t>crores</t>
    </r>
  </si>
  <si>
    <t>Billed - theft assessment</t>
  </si>
  <si>
    <t>Total Billed (1+2)</t>
  </si>
  <si>
    <t>Amount realised - billed metered +unmetered</t>
  </si>
  <si>
    <t>Amount realised against theft of energy</t>
  </si>
  <si>
    <t>Total Amount realised (4+5) *</t>
  </si>
  <si>
    <t>Amount realised as % of amount billed (6)/(3)</t>
  </si>
  <si>
    <t>COST OF SUPPLY - 2</t>
  </si>
  <si>
    <t>Page : 2</t>
  </si>
  <si>
    <t>Cost of supply</t>
  </si>
  <si>
    <t>Average cost of purchase of power</t>
  </si>
  <si>
    <t>` per unit</t>
  </si>
  <si>
    <t>Cost at bus bar</t>
  </si>
  <si>
    <t>Cost of supply at EHT (at 66 KV)</t>
  </si>
  <si>
    <t>Cost of supply at HT (at 11 KV)</t>
  </si>
  <si>
    <t>Cost of supply at LT (at 400 / 230 V)</t>
  </si>
  <si>
    <t>Average Cost of supply</t>
  </si>
  <si>
    <t xml:space="preserve">LT </t>
  </si>
  <si>
    <t>Average Sales realisation</t>
  </si>
  <si>
    <t>FINANCIAL DATA - 3</t>
  </si>
  <si>
    <t>Page : 3</t>
  </si>
  <si>
    <t>Employees Cost</t>
  </si>
  <si>
    <t xml:space="preserve">Interest </t>
  </si>
  <si>
    <t>Repairs &amp; Maintenance</t>
  </si>
  <si>
    <t>Depreciation</t>
  </si>
  <si>
    <t>Admin and General expenses</t>
  </si>
  <si>
    <t>6.a</t>
  </si>
  <si>
    <t>Exp. Capitalised less other debits</t>
  </si>
  <si>
    <t>Total cost excluding Profit/Return</t>
  </si>
  <si>
    <t>Capital expenditure</t>
  </si>
  <si>
    <t xml:space="preserve">New long term borrowings </t>
  </si>
  <si>
    <t>Non Tariff Income</t>
  </si>
  <si>
    <t>Bank overdraft as at the end of the quarter</t>
  </si>
  <si>
    <t>Sales amount</t>
  </si>
  <si>
    <t>Agricultural Subsidy received/receivable</t>
  </si>
  <si>
    <t>Other Subsidy received/10% W.back</t>
  </si>
  <si>
    <t>Total (9 to 15)</t>
  </si>
  <si>
    <t>Cost of power purchase as % of total cost (1) / (8)</t>
  </si>
  <si>
    <t>IV  -  FINANCIAL DATA</t>
  </si>
  <si>
    <t>Ac/s.Head</t>
  </si>
  <si>
    <t>A</t>
  </si>
  <si>
    <t>Revenue</t>
  </si>
  <si>
    <t>Other income</t>
  </si>
  <si>
    <t>62+63</t>
  </si>
  <si>
    <t>Total Revenue</t>
  </si>
  <si>
    <t>B</t>
  </si>
  <si>
    <t>EXPENSES :</t>
  </si>
  <si>
    <t>Operating Expenses</t>
  </si>
  <si>
    <t>Power Purchase Costs**</t>
  </si>
  <si>
    <t xml:space="preserve">   -Fixed </t>
  </si>
  <si>
    <t xml:space="preserve">   -Variable +</t>
  </si>
  <si>
    <t>Fuel Expense</t>
  </si>
  <si>
    <t>-</t>
  </si>
  <si>
    <t>Employee Cost</t>
  </si>
  <si>
    <t>Repairs and Maintenance</t>
  </si>
  <si>
    <t>Administrative and General Expense</t>
  </si>
  <si>
    <t>Other Operating Costs</t>
  </si>
  <si>
    <t>Other Expenses(Expenditure Capitalised - Other debits - Net prior period Exp - Extra ordinary exp)</t>
  </si>
  <si>
    <t>15+79+74110+(83-65)</t>
  </si>
  <si>
    <t>Taxes, if any</t>
  </si>
  <si>
    <t>Total expenses</t>
  </si>
  <si>
    <t>C</t>
  </si>
  <si>
    <t>Surplus (deficit) excluding rate of return</t>
  </si>
  <si>
    <t>D</t>
  </si>
  <si>
    <t>Calculation of return</t>
  </si>
  <si>
    <t>* Power Purchase cost (net) is subject to BST Rate</t>
  </si>
  <si>
    <t>GLP</t>
  </si>
  <si>
    <t>LTMD &amp; NRGP</t>
  </si>
  <si>
    <r>
      <rPr>
        <sz val="12"/>
        <rFont val="Rupee Foradian"/>
        <family val="2"/>
      </rPr>
      <t xml:space="preserve">` </t>
    </r>
    <r>
      <rPr>
        <sz val="12"/>
        <rFont val="Tahoma"/>
        <family val="2"/>
      </rPr>
      <t>crores</t>
    </r>
  </si>
  <si>
    <t>Mus</t>
  </si>
  <si>
    <t>Page : 4</t>
  </si>
  <si>
    <t>Cumulative Upto 4 rd quarter</t>
  </si>
  <si>
    <t>Purchase from GUVNL (net)</t>
  </si>
  <si>
    <t xml:space="preserve">Cost of Power purchase </t>
  </si>
  <si>
    <t xml:space="preserve">* Non Tarrif income is not included in the Sale of Electricity. Regrouping has been done in the previous year data to match the current year. </t>
  </si>
  <si>
    <t xml:space="preserve">% change </t>
  </si>
  <si>
    <t>OCI</t>
  </si>
  <si>
    <t>(Rs. in Crores)</t>
  </si>
  <si>
    <t>Cumulative Upto 4th rd quarter</t>
  </si>
  <si>
    <t xml:space="preserve">Cumulative Up to 4th quarter </t>
  </si>
  <si>
    <t>Cumulative Up to 4th quarter</t>
  </si>
  <si>
    <t>4th Quarter</t>
  </si>
  <si>
    <t>Cumulative up to 4th Qtr</t>
  </si>
  <si>
    <t>Current Year 20-21</t>
  </si>
  <si>
    <t>Previous  Year 19-20</t>
  </si>
  <si>
    <t>4th Quarter Jan'21 to Mar'21</t>
  </si>
  <si>
    <t>4th Quarter  Jan'20 to March'21</t>
  </si>
  <si>
    <t>3rd QTR Cumulative</t>
  </si>
  <si>
    <t>DAKSHIN GUJARAT VIJ COMPANY LTD</t>
  </si>
  <si>
    <t>20.09.2021   (18th )</t>
  </si>
  <si>
    <t>Date 20/09/2021 04:01:01 pm</t>
  </si>
  <si>
    <t>Location: DGVCL Corporate Office</t>
  </si>
  <si>
    <t>Trial Balance For The Period</t>
  </si>
  <si>
    <t>From : 2020-04 To 2021-03</t>
  </si>
  <si>
    <t>Company ID: 1</t>
  </si>
  <si>
    <t>Location ID:</t>
  </si>
  <si>
    <t>1-400,401,402,403,404,410,411,412,413,414,415,490,491,492,493,494,495,496,600,601,602,603,604,700,760,994</t>
  </si>
  <si>
    <t>Sr.</t>
  </si>
  <si>
    <t>Acc Code</t>
  </si>
  <si>
    <t>Account Description</t>
  </si>
  <si>
    <t>Opening</t>
  </si>
  <si>
    <t>Debit</t>
  </si>
  <si>
    <t>Credit</t>
  </si>
  <si>
    <t>Closing</t>
  </si>
  <si>
    <t>FIXED ASSETS</t>
  </si>
  <si>
    <t>LAND &amp; LAND RIGHTS</t>
  </si>
  <si>
    <t>LAND OWNED UNDER FULL TITLE</t>
  </si>
  <si>
    <t>LAND HELD UNDER LEASE</t>
  </si>
  <si>
    <t>Lease Asset- Ind AS</t>
  </si>
  <si>
    <t>BUILDINGS</t>
  </si>
  <si>
    <t>BLDGS. CONTAINING DIST. INSTALLATIONS.</t>
  </si>
  <si>
    <t>OFFICE BLDGS.</t>
  </si>
  <si>
    <t>RESIDENTIAL COLONY FOR STAFF.</t>
  </si>
  <si>
    <t>TEMPORARY ERECTIONS</t>
  </si>
  <si>
    <t>OTHER BUILDINGS</t>
  </si>
  <si>
    <t>GUEST HOUSE BUILDING</t>
  </si>
  <si>
    <t>COST OF BUILDING BELOW 5000</t>
  </si>
  <si>
    <t>HYDRAULIC WORKS.</t>
  </si>
  <si>
    <t>SWEET WATER ARRNGMENT INCL RESERVOIRS</t>
  </si>
  <si>
    <t>PLANT &amp; P.LINE FOR WATER SUPP- RES-COL</t>
  </si>
  <si>
    <t>DRAINAGE &amp; SEWERAGE- RES-COLONY</t>
  </si>
  <si>
    <t>OTHER CIVIL WORKS</t>
  </si>
  <si>
    <t>ROADS</t>
  </si>
  <si>
    <t>MISC CIVIL WORKS</t>
  </si>
  <si>
    <t>Miscellaneous Civil Works- Ind AS</t>
  </si>
  <si>
    <t>PLANT &amp; MACHINERY</t>
  </si>
  <si>
    <t>OIL STRAGE TNKS OIL HANDLNG PLANT &amp; EQIP</t>
  </si>
  <si>
    <t>TRNSFMRS HAVING RATING OF 100 KVA &amp; OVER</t>
  </si>
  <si>
    <t>OTHER TRANSFORMERS</t>
  </si>
  <si>
    <t>OTHER PLANT &amp; EQUIP S/S EQUFOR TRANS/DIST.</t>
  </si>
  <si>
    <t>SOLAR GENERATING EQUIPMENTS</t>
  </si>
  <si>
    <t>Service Transformers for Distribution Network</t>
  </si>
  <si>
    <t>SPV Panels under-SKY Scheme (Debit)</t>
  </si>
  <si>
    <t>SPV Panels under-SKY Scheme (Credit)</t>
  </si>
  <si>
    <t>Solar Pump Set</t>
  </si>
  <si>
    <t>MATERIAL HANDLING EQUIPMENT-CRANES</t>
  </si>
  <si>
    <t>MATERIAL HANDLING EQUIPMENT-OTHERS</t>
  </si>
  <si>
    <t>SWITCH-GEAR INCLUDING CABLE CONNECTIONS</t>
  </si>
  <si>
    <t>BATTERIES INCLUDING CHARGING EQUIPMENT</t>
  </si>
  <si>
    <t>FABRICATION SHOP/WKSHOP PLANT&amp;EQUIPMENT</t>
  </si>
  <si>
    <t>LIGHTNING ARRESTORS (POLE TYPE)</t>
  </si>
  <si>
    <t>LIGHTNING ARRESTORS (STATION TYPE)</t>
  </si>
  <si>
    <t>COMU. EQIP RADIO&amp;HIGH FRQNCY CARRIER SYS</t>
  </si>
  <si>
    <t>COMU. EQUIP PHONE LINES &amp; PHONES.</t>
  </si>
  <si>
    <t>STATIC MACHINE TOOLS &amp; EQUIPMENT.</t>
  </si>
  <si>
    <t>AIR-CONDITIONING PLANT STATIC.</t>
  </si>
  <si>
    <t>AIR-CONDITIONING PLANT-PORTABLE</t>
  </si>
  <si>
    <t>REFRIGERATORS &amp; WATER COOLERS.</t>
  </si>
  <si>
    <t>METER TESTING LAB TOOLS &amp; EQUIP</t>
  </si>
  <si>
    <t>TOOLS &amp; TACKLES</t>
  </si>
  <si>
    <t>DEMONSTRATION EQUIPMENT</t>
  </si>
  <si>
    <t>LABORATORY EQUIPMENT AT T.P.S.</t>
  </si>
  <si>
    <t>SYNCHRONOUS CONDENSORS</t>
  </si>
  <si>
    <t>Solar System Under PM-Kusum-B Scheme (Debit)</t>
  </si>
  <si>
    <t>Solar System Under PM-Kusum-B Scheme (Credit)</t>
  </si>
  <si>
    <t>Solar Pump Grant &amp; Consumer Contribution</t>
  </si>
  <si>
    <t>OTHER MISC PLANT &amp; MACHINERY</t>
  </si>
  <si>
    <t>LINES &amp; CABLE NET-WORK</t>
  </si>
  <si>
    <t>OVER-HEAD LNS OPERATING ABOVE 66 K.V.</t>
  </si>
  <si>
    <t>OVER-HEAD LNS OPRATNG FROM 13.2 TO 66KV</t>
  </si>
  <si>
    <t>OVER-HEAD LINES ON RCC SUPPORT-11KV</t>
  </si>
  <si>
    <t>OVER-HEAD LINES ON STEEL/RCC SUPPORT&lt;11KV</t>
  </si>
  <si>
    <t>OVER-HEAD LNS ON TREATED WD SUPPORTS</t>
  </si>
  <si>
    <t>U.G.C. INCLDNG JOINT BOXES 11KV</t>
  </si>
  <si>
    <t>U.G.C. CABLE DUCT SYSTEMS.</t>
  </si>
  <si>
    <t>U.G.C. INCLDNG JT.BOXES &lt; 11KV</t>
  </si>
  <si>
    <t>SERVICE CONNECTIONS-HIGH VOLTAGE</t>
  </si>
  <si>
    <t>SERVICE CONNECTIONS-MED&amp; LOW VOLTAGE</t>
  </si>
  <si>
    <t>METERING EQUIPMENT</t>
  </si>
  <si>
    <t>Meter Console under SKY Scheme</t>
  </si>
  <si>
    <t>Watchdog Equipment under SKY Scheme</t>
  </si>
  <si>
    <t>STREET LIGHTING AND SIGNAL SYSTEM</t>
  </si>
  <si>
    <t>MISC. EQUIPMENTS</t>
  </si>
  <si>
    <t>VEHICLES</t>
  </si>
  <si>
    <t>TRUCKS TEMPOS ETC.</t>
  </si>
  <si>
    <t>JEEPS TRCKKERS</t>
  </si>
  <si>
    <t>MOTOR CARS</t>
  </si>
  <si>
    <t>OTHER VEHICLES</t>
  </si>
  <si>
    <t>FURNITURE-FIX &amp; ELECT-LIGHT&amp; FAN INST.</t>
  </si>
  <si>
    <t>FURNITURE AND FIXTURES</t>
  </si>
  <si>
    <t>ELECT-WIRING LIGHT &amp; FAN INST.</t>
  </si>
  <si>
    <t>Other Furniture and Fixture</t>
  </si>
  <si>
    <t>OFFICE EQUIPMENT</t>
  </si>
  <si>
    <t>OTHER OFFICE EQUIPMENTS</t>
  </si>
  <si>
    <t>CALCULATORS</t>
  </si>
  <si>
    <t>CASH REGISTREX MACHINE</t>
  </si>
  <si>
    <t>COMPUTERS &amp; COMPUTER RELATED EQUIPMENT</t>
  </si>
  <si>
    <t>DUPLICATING INSTRUMENTS</t>
  </si>
  <si>
    <t>PHOTO COPIER MACHINE</t>
  </si>
  <si>
    <t>FAX MACHINE</t>
  </si>
  <si>
    <t>PROV FOR DEP ON FIXED ASTS</t>
  </si>
  <si>
    <t>P.F.D.-LEASEHOLD LAND &amp; DEVP COSTS</t>
  </si>
  <si>
    <t>Provision For Depreciation On Lease Hold Land and</t>
  </si>
  <si>
    <t>PROV FOR DEP-BLDGS</t>
  </si>
  <si>
    <t>PROV FOR DEP-HYDRAULIC WORKS</t>
  </si>
  <si>
    <t>PROV FOR DEP-OTHER CIVIL WORKS</t>
  </si>
  <si>
    <t>PROV FOR DEP-PLANT &amp; MACHINERY</t>
  </si>
  <si>
    <t>PROV FOR DEP-PLANT &amp; MACHINERY/Capital Spares</t>
  </si>
  <si>
    <t>Provision For Depreciation On Plant &amp; Machinery -</t>
  </si>
  <si>
    <t>PROV FOR DEP-LINES &amp; CABLE NET-WORK.</t>
  </si>
  <si>
    <t>PROV FOR DEP-VEHICLES.</t>
  </si>
  <si>
    <t>Provision For Depreciation On Vehicles- Ind AS</t>
  </si>
  <si>
    <t>PROV FOR DEP-FURNITURE FIX ETC.</t>
  </si>
  <si>
    <t>PROV FOR DEP-OFFICE EQUIPMENT.</t>
  </si>
  <si>
    <t>PROV FOR DEP-OFFICE EQUIPMENT</t>
  </si>
  <si>
    <t>CAPITAL WORK-IN-PROGRESS</t>
  </si>
  <si>
    <t>CWIP-GENERATION</t>
  </si>
  <si>
    <t>CWIP-UKAI-HYDRO-PLANT &amp; MACHINERY</t>
  </si>
  <si>
    <t>CWIP-UKAI-HYDRO-LINES &amp; CABLE NET-WK</t>
  </si>
  <si>
    <t>CWIP(RE NONPLN) M-HYD-SCH PLANT&amp;MACHNERY</t>
  </si>
  <si>
    <t>CWIP(RE NONPLN) M-HYD-SCH LNS&amp;CABLE NET</t>
  </si>
  <si>
    <t>CWIP(RE NONPLN) DGS-KFTZ OTHER CIVIL WK</t>
  </si>
  <si>
    <t>CWIP REN.&amp;MOD.(C.A.) LNS &amp; CABLE NETWK</t>
  </si>
  <si>
    <t>CWIP-WTPS-EXTN-PLANT &amp; MACHINERY</t>
  </si>
  <si>
    <t>CWIP-WTPS-EXTN-LNS &amp; CABLE NETWK</t>
  </si>
  <si>
    <t>CAPITAL WK-IN-PROGRESS-GENERATION</t>
  </si>
  <si>
    <t>CWIP GTPS-EXTN-LNS &amp; CABLE NET-WK</t>
  </si>
  <si>
    <t>CWIP GTPS-EXTN-OFFICE EQUIPMENT</t>
  </si>
  <si>
    <t>CWIP SIKKA TPS-PLANT &amp; MACHINERY</t>
  </si>
  <si>
    <t>CWIP SIKKA TPS-LNS &amp; CABLE NET-WK</t>
  </si>
  <si>
    <t>CWIP-SOLAR POWER GENERATION LINES &amp; CABLE NET W</t>
  </si>
  <si>
    <t>CWIP-135 M.W GAS POWER PROJECT PLANT &amp; MACHINERY</t>
  </si>
  <si>
    <t>CWIP-135 M.W GAS POWER PROJECT LINES &amp; CABLE NET W</t>
  </si>
  <si>
    <t>CWIP-TRANSMISSION</t>
  </si>
  <si>
    <t>CWIP INT-STATE-220KV BLDGS</t>
  </si>
  <si>
    <t>CAPITAL WK-IN-PROGRESS-TRANSMISSION</t>
  </si>
  <si>
    <t>CWIP CHHAT-VIRAM 220 OFFICE EQUIP</t>
  </si>
  <si>
    <t>CWIP TRANSMISSION</t>
  </si>
  <si>
    <t>CWIP N-VJPUR 220 LAND &amp; LD RGHT</t>
  </si>
  <si>
    <t>CWIP IPDS Lines &amp; Cable Network</t>
  </si>
  <si>
    <t>CAPITAL WK-IN-PROGRESS-DISTRIBUTION.</t>
  </si>
  <si>
    <t>CWIP-AGRICULTURAL CONNECTION - PLANT &amp; MACHINERY</t>
  </si>
  <si>
    <t>CWIP-AGRICULTURAL CONNECTION - LINES &amp; CABLE NET W</t>
  </si>
  <si>
    <t>CWIP(RE-PLAN)TRIBL AREA HYDRAULIC WKS</t>
  </si>
  <si>
    <t>CWIP(RE-PLAN)TRIBL AREA PLNT &amp; MACHNRY</t>
  </si>
  <si>
    <t>CWIP(RE-PLAN)TRIBL AREA LNS&amp;CABLE NTWK</t>
  </si>
  <si>
    <t>CWIP(RE-PLAN)TRIBL AREA FURNITURE FIX ETC</t>
  </si>
  <si>
    <t>CWIP(RE-PLAN)TRIBL AREA OFFICE EQUIP</t>
  </si>
  <si>
    <t>CWIP(RE)S.P.F.LNS&amp;CABLE NTWK</t>
  </si>
  <si>
    <t>CWIP(RE PLAN) SPL CMPNT SCHM PLNT &amp; M/C</t>
  </si>
  <si>
    <t>CWIP(RE PLAN) SPL CMPNT SCHM LNS &amp; CABLE NT-WK</t>
  </si>
  <si>
    <t>CWIP(RE PLAN) HARJNBASTI PLANT &amp; MACHNRY</t>
  </si>
  <si>
    <t>CWIP(RE PLAN) HARJNBASTI LNS&amp;CABLE NT-WK</t>
  </si>
  <si>
    <t>CWIP(RE PLAN) HARJNBASTI FURNITURE FIXS ETC</t>
  </si>
  <si>
    <t>CWIP(RE PLAN) ORD ADVANC PLNT &amp; MACHNRY</t>
  </si>
  <si>
    <t>CWIP(RE PLAN) ORD ADVANC LNS&amp;CABLE NT-WK</t>
  </si>
  <si>
    <t>CWIP-Sardar Krushi Jyoti Yojna(SKJY)- PLANT &amp; MACH</t>
  </si>
  <si>
    <t>CWIP-Sardar Krushi Jyoti Yojna(SKJY)- LNS&amp;CABLE NT</t>
  </si>
  <si>
    <t>CWIP(RE PLAN) SPL UNDEV LNS&amp;CABLE NT-WK</t>
  </si>
  <si>
    <t>CAPITAL WK-IN-PROGRESS-DISTRIBUTION</t>
  </si>
  <si>
    <t>CWIP(RE PLAN) SYS-IMPROV LAND&amp;LD RGHT</t>
  </si>
  <si>
    <t>CWIP(RE PLAN) SYS-IMPROV BLDGS</t>
  </si>
  <si>
    <t>CWIP(RE PLAN) SYS-IMPROV PLANT &amp; MACHNRY</t>
  </si>
  <si>
    <t>CWIP(RE PLAN) SYS-IMPROV LNS&amp;CABLE NT-WK</t>
  </si>
  <si>
    <t>CWIP(RE PLAN) SYS-IMPROV FURNITURE FIXS ETC</t>
  </si>
  <si>
    <t>CWIP(RE PLAN) SPL TRANS PLANT &amp; MACHNERY</t>
  </si>
  <si>
    <t>CWIP(RE PLAN) SPL TRANS LNS&amp;CABLE NWK</t>
  </si>
  <si>
    <t>CWIP(RE PLAN) SPL PRJCT LNS&amp;CABLE NWK</t>
  </si>
  <si>
    <t>Capital Work in Progress (SKY Scheme)</t>
  </si>
  <si>
    <t>CWIP-KUTIR JYOT PLANT &amp; MACHINERY</t>
  </si>
  <si>
    <t>CWIP-KUTIR JYOT LINES &amp; CABLE NET W</t>
  </si>
  <si>
    <t>CWIP-KUTIR JYOT FURNITURE FIXTURE E</t>
  </si>
  <si>
    <t>CWIP-JIVANDHARA SCHEME BUILDINGS</t>
  </si>
  <si>
    <t>RECLASSIFICATION 546</t>
  </si>
  <si>
    <t>RECLASSIFIED 524</t>
  </si>
  <si>
    <t>CWIP(RE NONPLN)GOVT TUBEWEL LINE&amp;CABLE</t>
  </si>
  <si>
    <t>CWIP(RE NONPLN)VILLAGE ELEC-FP LINE&amp;CABLE</t>
  </si>
  <si>
    <t>CWIP(RE NONPLN)WELL ELEC-FP PLANT &amp; MACHINERY</t>
  </si>
  <si>
    <t>RECLASSIFIED 441(R)</t>
  </si>
  <si>
    <t>RECLSSIFIED 421 505(R) 593 441(R)</t>
  </si>
  <si>
    <t>CWIP(RE NONPLN) N.A.B.A.R.D.PLNT&amp;MACHNRY</t>
  </si>
  <si>
    <t>CWIP(RE NONPLN) N.A.B.A.R.D.LINE&amp;CABLENW</t>
  </si>
  <si>
    <t>CWIP(RE NONPLN) S.P.A.PLANT&amp;MACHNERY</t>
  </si>
  <si>
    <t>CWIP(RE NONPLN) S.P.A.LNS&amp;CABLE NET-WK</t>
  </si>
  <si>
    <t>CWIP-EXECUTION OF NON PLAN RE PLANT &amp; MACHINERY</t>
  </si>
  <si>
    <t>RECLASSIFIED 421</t>
  </si>
  <si>
    <t>CWIP-EXECUTION OF NON PLAN RE FURNITURE FIXTURE E</t>
  </si>
  <si>
    <t>CWIP(RE NONPLN) REPLCMNT-ASET/EQUP LNS</t>
  </si>
  <si>
    <t>CWIP(RE NONPLN) N.D.SCHEME PLANT&amp;MACHINY</t>
  </si>
  <si>
    <t>CWIP(RE NONPLN) N.D.SCHEME LNS&amp;CABLE NT-WK</t>
  </si>
  <si>
    <t>CWIP(RE NONPLN) N.D.SCHEME FURNITURE FIXS ETC</t>
  </si>
  <si>
    <t>CAPITAL WKS-IN-PROGRESS-MISC</t>
  </si>
  <si>
    <t>CWIP-EARTH QUAKE OTHER CIVIL WORKS</t>
  </si>
  <si>
    <t>RECLASSIFIED 204 444</t>
  </si>
  <si>
    <t>RECLASSIFIED 446 808 445 281 442 800 444 802 484</t>
  </si>
  <si>
    <t>CWIP CAP.EXP-VEHCL ETC VEHICLES</t>
  </si>
  <si>
    <t>CWIP CAP.EXP-VEHCL ETC FURNITURE FIXS ETC</t>
  </si>
  <si>
    <t>CWIP CAP EXP-VEHCL ETC OFFICE EQUIPMENT</t>
  </si>
  <si>
    <t>CWIP CAP EXP-OFFICE ETC LAND&amp;LD RGHTS</t>
  </si>
  <si>
    <t>CWIP CAP EXP-OFFICE ETC BLDGS</t>
  </si>
  <si>
    <t>CWIP CAP EXP-OFFICE ETC HYDRAULIC WKS</t>
  </si>
  <si>
    <t>CWIP CAP EXP-OFFICE ETC OTER CIVIL WKS</t>
  </si>
  <si>
    <t>CWIP CAP EXP-OFFICE ETC PLANT&amp;MACHNERY</t>
  </si>
  <si>
    <t>CWIP CAP EXP-OFFICE ETC LNS&amp;CABLE NET-WK</t>
  </si>
  <si>
    <t>CWIP CAP EXP OFFICE ETC FURNITURE FIXS ETC</t>
  </si>
  <si>
    <t>CWIP CAP EXP-OFFICE ETC OFFICE EQUIPMENT</t>
  </si>
  <si>
    <t>CWIP CAP EXP-GEN- OTHER CIVIL WK</t>
  </si>
  <si>
    <t>CWIP CAP EXP-GEN- LNS&amp;CABLE NET-WK</t>
  </si>
  <si>
    <t>CWIP C.EXP-SUB-STTION PLNT&amp;MACHNERY</t>
  </si>
  <si>
    <t>CWIP C EXP SUB-STTION LNS&amp;CABLE NET-WK</t>
  </si>
  <si>
    <t>CWIP C EXP-SUB-STTION OFFICE EQUIPMENT</t>
  </si>
  <si>
    <t>CWIP C EXP-OTHERS OTHER CIVIL WKS</t>
  </si>
  <si>
    <t>CWIP CAP-EXP-CLOSED PROJECTS LNS &amp;CABLENT-WK</t>
  </si>
  <si>
    <t>CWIP-CAPITAL EXPENDITURE FOR M LAND &amp; LAND RIGHTS</t>
  </si>
  <si>
    <t>CWIP-CAPITAL EXPENDITURE FOR M OFFICE EQUIPMENT</t>
  </si>
  <si>
    <t>OTHER ACCNTS FOR ASTS AT CONST-STAGE</t>
  </si>
  <si>
    <t>REV EXP RECL PEN ALLO OVR CAP WKS</t>
  </si>
  <si>
    <t>INTEREST CHARGES CHARGED TOCAPITAL WORKS</t>
  </si>
  <si>
    <t>SUPERVISION &amp; ADMN. COST CHGD. TO CAP. WORKS</t>
  </si>
  <si>
    <t>ASTS NOT IN USE</t>
  </si>
  <si>
    <t>W D V OF OBSOLETE/SCRAPPED ASSETS</t>
  </si>
  <si>
    <t>W D V-OBSOLET/SCRAPED ASET-LNS_CBL_NTWRK</t>
  </si>
  <si>
    <t>W D V-OBSOLET/SCRAPED ASET-VEHICLES</t>
  </si>
  <si>
    <t>W D V-OBSOLET/SCRAPED-ASET-OFFICE EQUIP</t>
  </si>
  <si>
    <t>CAPITAL WORK-IN-PROGRESS(CWIP)</t>
  </si>
  <si>
    <t>CWIP-DISTRIBUTION</t>
  </si>
  <si>
    <t>CWIP-AG Feeder Bifurcation Work Lines &amp; Cable Networks</t>
  </si>
  <si>
    <t>Capital Works in Progress - PM-KUSUM-B Scheme</t>
  </si>
  <si>
    <t>INVESTMENTS</t>
  </si>
  <si>
    <t>INVESTMENTS OTHER THAN FUND INVESTMENTS</t>
  </si>
  <si>
    <t>INV OF RETEN OF FLD ALL FROM GRATUITY</t>
  </si>
  <si>
    <t>INV.OF RETEN OF PROJ ALL FR-TERMI BENIFIT</t>
  </si>
  <si>
    <t>INVESTMENT OF RETN.AMT OF 3TIER HG BENIFIT</t>
  </si>
  <si>
    <t>Investments in form of fixed deposits with Banks c</t>
  </si>
  <si>
    <t>MATERIALS STOCK &amp; RELATED ACCOUNTS</t>
  </si>
  <si>
    <t>MATERIALS PURCHASE / FABRICATION</t>
  </si>
  <si>
    <t>MATERIALS PURCHASE(O&amp;M) - H.O.</t>
  </si>
  <si>
    <t>MATERIALS PURCHASE(O&amp;M) - LOCAL</t>
  </si>
  <si>
    <t>TOTAL MATERIALS PURCHASE (CREDIT A/C)</t>
  </si>
  <si>
    <t>MATERIALS PURCHASE-STEEL</t>
  </si>
  <si>
    <t>MATERIALS PURCHASE-TRANSFORMERS</t>
  </si>
  <si>
    <t>MATERIALS PURCHASE-MTRS &amp; METERING EQUIP</t>
  </si>
  <si>
    <t>MATERIALS PURCHASE-CABLES &amp; CONDUCTORS</t>
  </si>
  <si>
    <t>MATERIALS PURCHASE-POLES</t>
  </si>
  <si>
    <t>MATERIALS PURCHASE-INSULATORS</t>
  </si>
  <si>
    <t>MATERIALS PURCHASE-OTHERS</t>
  </si>
  <si>
    <t>MATERIALS ISSUES</t>
  </si>
  <si>
    <t>MATERIALS ISSUES (CREDIT A/C)</t>
  </si>
  <si>
    <t>MAT.ISSUED TO CONTRACTORS CREDIT A/CS.</t>
  </si>
  <si>
    <t>MAT.ISSUED FOR CAPITAL CONSUMPTION DR A/C</t>
  </si>
  <si>
    <t>MAT.ISSUED FOR O&amp;M CONSUMPTION DEBIT A/C</t>
  </si>
  <si>
    <t>TOTAL MATERIALS ISSUED CREDIT A/C.</t>
  </si>
  <si>
    <t>MATERIALS TRANSFER</t>
  </si>
  <si>
    <t>MATERIALS TRANSFER INWARD</t>
  </si>
  <si>
    <t>MATERIALS TRANSFER OUTWARD</t>
  </si>
  <si>
    <t>MATERIALS STOCK ADJUSTMENT</t>
  </si>
  <si>
    <t>MATERIALS STOCK</t>
  </si>
  <si>
    <t>CAPITAL MATERIALS STOCK</t>
  </si>
  <si>
    <t>O&amp;M MATERIALS STOCK</t>
  </si>
  <si>
    <t>MATERIALS-AT-SITE (CAPITAL)</t>
  </si>
  <si>
    <t>MATERIALS-AT-SITE (O&amp;M)</t>
  </si>
  <si>
    <t>MATERIALS AT TRANSFORMER MAINTENANCE SECTION</t>
  </si>
  <si>
    <t>MATERIALS-IN-TRANSIT.</t>
  </si>
  <si>
    <t>OTHER MATERIALS RELATED ACCOUNTS</t>
  </si>
  <si>
    <t>WK-SHOP SUSPENSE-MATERIALS.</t>
  </si>
  <si>
    <t>METER-TESTING LAB.SUSPENSE-MATERIALS</t>
  </si>
  <si>
    <t>MATERIALS ISSUED TO FABRICATORS P-FACTRY</t>
  </si>
  <si>
    <t>MAT ISSUED TO FABRICATRS TRANSFMR REPAIR</t>
  </si>
  <si>
    <t>MATERIALS ISSUED TO FABRICATORS-OTHERS</t>
  </si>
  <si>
    <t>FABRICATION MATERIALS--SUSPENSE A/C</t>
  </si>
  <si>
    <t>SAMPLES SENT TO ERDA OR OTHER AGENCIES.</t>
  </si>
  <si>
    <t>SCRAP/OBSOLETE MATERIALS STOCK</t>
  </si>
  <si>
    <t>TRANSFORMERS REPLACED AGAINST BURNT-DR</t>
  </si>
  <si>
    <t>BURNT TRANSFORMERS REMOVED-CR</t>
  </si>
  <si>
    <t>MAT.STOCK EXCESS/SHORTAGE PENDNG INVSTG</t>
  </si>
  <si>
    <t>MAT STOCK EXCESS PENDING INVESTIG</t>
  </si>
  <si>
    <t>PROV FOR WRITING BACK EXCESS MAT-DEBIT</t>
  </si>
  <si>
    <t>MAT.STOCK SHORTAGE PENDING INVESTIGN</t>
  </si>
  <si>
    <t>LOSSES-COST OF LOST DAMAGED ARTICLS/MAT</t>
  </si>
  <si>
    <t>PROVSN FOR STK SHORTAGES PEN.INVSTG</t>
  </si>
  <si>
    <t>RECEIVABLES AGAINST SUPPLY OF PWR</t>
  </si>
  <si>
    <t>SUNDRY DEBTORS FOR SALE OF PWR</t>
  </si>
  <si>
    <t>S DEBTOR FOR SALE OF PWR-RESI/DOMEST</t>
  </si>
  <si>
    <t>S DEBTORS FOR SALE OF PWR-COMMERCIAL</t>
  </si>
  <si>
    <t>S DEBTOR FOR SALE OF PWR INDST-L&amp;M VOL</t>
  </si>
  <si>
    <t>S.DEBTORS FOR SALE OF POWER INDUSTRIAL HT</t>
  </si>
  <si>
    <t>S DEBTOR FOR SALE OF PWR-PUB.LGHTING</t>
  </si>
  <si>
    <t>S DEBTORS FOR SALE OF PWR-TRCTION RALWAY</t>
  </si>
  <si>
    <t>S DEBTOR FOR SALE OF PWR-IRR-AGRICTL</t>
  </si>
  <si>
    <t>S DEBTOR FOR SAL OF PWR-PWW/SERAGE PUMP</t>
  </si>
  <si>
    <t>Amount receivable from GoG for relief to primary s</t>
  </si>
  <si>
    <t>AMT RCD FR GOVT AGAINST DUES FR VILL W/WKS</t>
  </si>
  <si>
    <t>Amount receivable from Goverment of Gujrat under Atmanirbhar Package</t>
  </si>
  <si>
    <t>SUNDRY DEBTORS COLLECTIONS ACCOUNT</t>
  </si>
  <si>
    <t>TOTAL COLLECTIONS (CREDIT)</t>
  </si>
  <si>
    <t>TOTAL NON-CASH ADJ.TO CNSMR-S-CR</t>
  </si>
  <si>
    <t>COLLECTION MADE BY OFFICES OTHER THAN BIL ISSUE OF</t>
  </si>
  <si>
    <t>TOTAL COLLECTIONS (DEBIT)</t>
  </si>
  <si>
    <t>TOTAL NON-CASH ADJ.TO CNSMR-S-DR</t>
  </si>
  <si>
    <t>TOTAL ADJUSTMENTS MADE FOR COLLECTION BY OTHER OFF</t>
  </si>
  <si>
    <t>UNPOSTED RECEIPTS-CR</t>
  </si>
  <si>
    <t>PROV FOR UNBILLED REVENUE</t>
  </si>
  <si>
    <t>PROVISION FOR UNBILLED REVENUE -RESI/DOMESTIC</t>
  </si>
  <si>
    <t>PROVISION FOR UNBILLED REV-COMMERCIAL</t>
  </si>
  <si>
    <t>PROVISION FOR UNBILLED REV-IND. LOW &amp; MED. VOLTAGE</t>
  </si>
  <si>
    <t>PROVISION FOR UNBILLED REV-IND-HIGH VOLTAGE</t>
  </si>
  <si>
    <t>PROVISION FOR UNBILLED REV-PUBLIC LIGHTING</t>
  </si>
  <si>
    <t>PROVISION FOR UNBILLED REV-TRACTION RAILWAYS</t>
  </si>
  <si>
    <t>PROVISION FOR UNBILLED REV-IRRIGATION AGRICULTURAL</t>
  </si>
  <si>
    <t>PROVISION FOR UNBILLED REV-PUBLIC WATER WORKS &amp; SE</t>
  </si>
  <si>
    <t>PROVISION FOR UNBILLED REV-OTHER CONSUMERS</t>
  </si>
  <si>
    <t>DUES FROM PERMANENTLY DISCON. CONSUMERS.</t>
  </si>
  <si>
    <t>S DEBTORS-MISC.RECPTS FROM CONSUMER</t>
  </si>
  <si>
    <t>Sundry Debtors – Miscellaneous Receipts from Co</t>
  </si>
  <si>
    <t>DUES FROM UNCONNECTED CONSUMERS</t>
  </si>
  <si>
    <t>Amount payable to EESL towards LED bulbs Under Uja</t>
  </si>
  <si>
    <t>Amount recoverable from consumers for LED under Uj</t>
  </si>
  <si>
    <t>DUES FRM NON-CNSMRS FOR THEFT &amp; MALPRAC</t>
  </si>
  <si>
    <t>PROV FOR DOUBTFUL DUES FROM CONSUMR</t>
  </si>
  <si>
    <t>PROVISION FOR DOUBTFUL DUE FROM HT CONSUMERS</t>
  </si>
  <si>
    <t>CASH AND BANK</t>
  </si>
  <si>
    <t>CASH</t>
  </si>
  <si>
    <t>CASH ON HAND</t>
  </si>
  <si>
    <t>CASH/CHEQUES TO BE DEPOSITED IN COLL.BANK</t>
  </si>
  <si>
    <t>POSTAGE STAMPS ON HAND</t>
  </si>
  <si>
    <t>STAMPED AGREEMENT FORMS ON HAND</t>
  </si>
  <si>
    <t>CASH IMPREST WITH STAFF</t>
  </si>
  <si>
    <t>PERMANENT IMPREST WITH STAFF</t>
  </si>
  <si>
    <t>TEMPORARY IMPREST WITH STAFF</t>
  </si>
  <si>
    <t>COLLECTION BANK</t>
  </si>
  <si>
    <t>BOB COLLECTION A/C</t>
  </si>
  <si>
    <t>B.O.I COLLECTION A/C</t>
  </si>
  <si>
    <t>C.B.I COLLECTION A/C</t>
  </si>
  <si>
    <t>DENA BANK COLLECTION A/C</t>
  </si>
  <si>
    <t>S.B.I COLLCTION A/C</t>
  </si>
  <si>
    <t>STATE BANK OF INDIA (S.B.OF SAURASHTRA COLL. A/C)</t>
  </si>
  <si>
    <t>SYNDICATE BANK COLLECTION A/C</t>
  </si>
  <si>
    <t>VIJAYA BANK COLLECTION A/C</t>
  </si>
  <si>
    <t>STATE BANK OF INDIA IFB COLLECTION A/C.IFB.</t>
  </si>
  <si>
    <t>OTHER BANKS-COLLECTION A/C</t>
  </si>
  <si>
    <t>KOTAK MAHINDRA BANK-COLLECTION LTD.</t>
  </si>
  <si>
    <t>ICICI BANK-COLLECTION A/C.</t>
  </si>
  <si>
    <t>DISBURSEMENT BANK</t>
  </si>
  <si>
    <t>BANK OF BARODA</t>
  </si>
  <si>
    <t>DENA BANK - ESCROW A/C</t>
  </si>
  <si>
    <t>INDIAN BANK - ESCROW A/C</t>
  </si>
  <si>
    <t>STATE BANK OF INDIA</t>
  </si>
  <si>
    <t>STATE BANK OF INDIA-IF BRANCH</t>
  </si>
  <si>
    <t>State Bank of India-Savings A/c (Surya Gujarat Scheme)</t>
  </si>
  <si>
    <t>BANK OF BARODA -OTHER BR</t>
  </si>
  <si>
    <t>REMITANCE-IN-TRANSIT TO H.O.</t>
  </si>
  <si>
    <t>REMITTANCES-IN-TRANSIT TO H.O.</t>
  </si>
  <si>
    <t>Remittances – in –transit from Bill Desk</t>
  </si>
  <si>
    <t>Remittances – in –transit from ICIC Bank</t>
  </si>
  <si>
    <t>TRANSFERS-IN-TRANSIT FROM H.O.</t>
  </si>
  <si>
    <t>ADV.TO SUPPLIER/CONTRACTRS (CAPITAL)</t>
  </si>
  <si>
    <t>ADVS TO SUPPLIERS (CAP)-INTEST FREE.</t>
  </si>
  <si>
    <t>ADV.TO SUPPLIERS (CAP)-INTEST FREE</t>
  </si>
  <si>
    <t>ADVS TO CONTRACTORS (CAP)-INT-FREE.</t>
  </si>
  <si>
    <t>OTHER LOANS &amp; ADVS.</t>
  </si>
  <si>
    <t>LOANS &amp; ADV. TO STAFF-INT-BEARING</t>
  </si>
  <si>
    <t>SCOOTER ADVS-STAFF-INT-BEARING</t>
  </si>
  <si>
    <t>MOTOR CAR ADVS-STAFF-INT-BEARING.</t>
  </si>
  <si>
    <t>HOUSE BLDG ADVS-STAFF-INT-BEARING.</t>
  </si>
  <si>
    <t>LOANS &amp; ADVS TO STAFF-INT-FREE</t>
  </si>
  <si>
    <t>LTC &amp; TA ADVANCE TO STAFF INTE-FREE</t>
  </si>
  <si>
    <t>SALARY ADVS-STAFF-INTE-FREE</t>
  </si>
  <si>
    <t>FESTIVAL ADVS-STAFF-INTE-FREE</t>
  </si>
  <si>
    <t>FOOD ADVS-STAFF-INT-FREE</t>
  </si>
  <si>
    <t>INTIM RELIEF TO STAFF-MEDICAL</t>
  </si>
  <si>
    <t>ADV I-TAX &amp; T.D.S.</t>
  </si>
  <si>
    <t>TCS on Purchase of Electricity</t>
  </si>
  <si>
    <t>TCS on Purchase of Goods, Others</t>
  </si>
  <si>
    <t>TCS Receivable on Sale of Electricity to Consumers</t>
  </si>
  <si>
    <t>ADV INCOME-TAX</t>
  </si>
  <si>
    <t>Advance Service Tax</t>
  </si>
  <si>
    <t>T.D.S.-INC.FROM INVESTMENT</t>
  </si>
  <si>
    <t>T.D.S.ON OTHER RECEIPTS.</t>
  </si>
  <si>
    <t>TDS Credit on Central Goods &amp; Service Tax(CGST)</t>
  </si>
  <si>
    <t>TDS Credit on Stat Goods &amp; Service Tax(SGST)</t>
  </si>
  <si>
    <t>TDS Credit on Integrated Goods &amp; Service Tax(IGST)</t>
  </si>
  <si>
    <t>I.T.DEMAND FOR A.Y.2011-12</t>
  </si>
  <si>
    <t>IT DEMAND FOR A.Y. 2012-13</t>
  </si>
  <si>
    <t>INCOME TAX DEMAND FOR A.Y. 2013-14</t>
  </si>
  <si>
    <t>INCOME TAX DEMAND FOR A.Y. 2014-15.</t>
  </si>
  <si>
    <t>INCOME TAX DEMAND FOR A.Y.2015-16</t>
  </si>
  <si>
    <t>Income Tax Demand for A.Y. 2017-18</t>
  </si>
  <si>
    <t>LOANS AND ADV-OTHERS</t>
  </si>
  <si>
    <t>LOANS &amp; ADVANCES OTHERS- MISC.LOAN CASH DEPARTME</t>
  </si>
  <si>
    <t>MISCELLANEOUS LOANS &amp; ADV</t>
  </si>
  <si>
    <t>S RECEIVABLES</t>
  </si>
  <si>
    <t>INCOME ACRUED AND DUE</t>
  </si>
  <si>
    <t>INCOME ACRUED &amp; DUE STAFF LOANS &amp; ADV</t>
  </si>
  <si>
    <t>Income accrued and due – Staff Loans &amp; Advances</t>
  </si>
  <si>
    <t>INCOME ACRUED B.N.D.</t>
  </si>
  <si>
    <t>INCOM ACRUED B.N.D.-STAFF-SCOOTER ADV.</t>
  </si>
  <si>
    <t>INCOME ACRUED B.N.D.-STAFF-MOTOR CAR ADV</t>
  </si>
  <si>
    <t>INCOME ACRUED B.N.D.-STAFF-H.B.ADV.</t>
  </si>
  <si>
    <t>AMTS RECOVERABLE FRM EMP/EX-EMPLOYEE</t>
  </si>
  <si>
    <t>AMTS RECOVERABLE FRM EMPLOYEES</t>
  </si>
  <si>
    <t>AMTS RECOVERABLE FRM EX-EMPLOYEES</t>
  </si>
  <si>
    <t>AMT. REC-BLE FROM EX-EMPLOYEES FOR PENSION FUND</t>
  </si>
  <si>
    <t>FUEL RELATED RECEIVABLES AND CLAIMS</t>
  </si>
  <si>
    <t>PROV FR LOSS ON INFERIOR GRD OF IMPORTED COAL</t>
  </si>
  <si>
    <t>SUBSIDY / GRANTS RECEIVABLE</t>
  </si>
  <si>
    <t>CAPITAL SUBSIDY / GRANTS RECEIVABLE</t>
  </si>
  <si>
    <t>AG SUBSIDY-GERC</t>
  </si>
  <si>
    <t>SUBSIDY FOR 25 % REBATE TO RESI CONS</t>
  </si>
  <si>
    <t>Amount receivable under Surya Gujarat Scheme</t>
  </si>
  <si>
    <t>50% AG Relief Receivable from GoG</t>
  </si>
  <si>
    <t>GRANT RECEIVABLE FROM GOVT.FOR SOLAR AG PUMP SET</t>
  </si>
  <si>
    <t>30% Grant receivable from Govt. of India (MNRE)</t>
  </si>
  <si>
    <t>35% SKY? Loan recoverable from Consumer</t>
  </si>
  <si>
    <t>30% SKY? Loan recoverable from Consumer(EBI)</t>
  </si>
  <si>
    <t>Incentive receivable from GoG-SKY Scheme (EBI)</t>
  </si>
  <si>
    <t>30% PM-Kusum-B Scheme Grant receivable from Central Goverment(CFA)</t>
  </si>
  <si>
    <t>30% PM-Kusum-B Scheme Grant receivable from State Goverment</t>
  </si>
  <si>
    <t>OTHER RECEIVABLES</t>
  </si>
  <si>
    <t>OTHER MISC.REC.FRM SEB GOVTLOCAL DEPTT.</t>
  </si>
  <si>
    <t>AMTS RECOVERABLE FRM SUPPLIERS</t>
  </si>
  <si>
    <t>AMTS RECOVERABLE FRM CONTRACTORS</t>
  </si>
  <si>
    <t>PREPAID EXPENSES</t>
  </si>
  <si>
    <t>Interest Receivable from consumer for Loan from GoG-SKY Scheme</t>
  </si>
  <si>
    <t>Interest Receivable from consumer for Loan from GoG-Sky-EBI (30%)</t>
  </si>
  <si>
    <t>DISPUTED ADVANCE</t>
  </si>
  <si>
    <t>DEPOSITS</t>
  </si>
  <si>
    <t>DEPOSITS WITH EXCISE AUTHRTIES</t>
  </si>
  <si>
    <t>DEPOSITS WITH TELEPHONE AUTHRTIES</t>
  </si>
  <si>
    <t>DEPOSIT WITH INDUSTRIAL TRIBUNAL COURT</t>
  </si>
  <si>
    <t>Deposit with Gujarat High Court &amp; Other Courts</t>
  </si>
  <si>
    <t>OTHER DEPOSITS</t>
  </si>
  <si>
    <t>SD FR BILL COLL AGENC IN OTHR THAN CASH</t>
  </si>
  <si>
    <t>F.D.FROM SUPPLIERS/CONTRACTORS</t>
  </si>
  <si>
    <t>INTER COMPANY TRANSACTION</t>
  </si>
  <si>
    <t>INTER-COMP.A/C-MGVCL</t>
  </si>
  <si>
    <t>INTER-COMP.A/C-PGVCL</t>
  </si>
  <si>
    <t>INTER-COMP.A/C-UGVCL</t>
  </si>
  <si>
    <t>INTER-COMP.A/C-GETCO</t>
  </si>
  <si>
    <t>INTER-COMP.A/C-GUVNL HEAD OFFICE</t>
  </si>
  <si>
    <t>INTER-COMP.A/C-GETRI</t>
  </si>
  <si>
    <t>Fixed Assets - IndAS Transition Adjustments</t>
  </si>
  <si>
    <t>Buildings-IndAS transition adjustment</t>
  </si>
  <si>
    <t>Hydraulic Works-IndAS transition adjustment</t>
  </si>
  <si>
    <t>Other Civil Works-IndAS transition adjustment</t>
  </si>
  <si>
    <t>Plant &amp; Machinary-IndAS transition adjustment</t>
  </si>
  <si>
    <t>Lines &amp; Cable net Works-IndAS transition adjustmen</t>
  </si>
  <si>
    <t>Vehicles-IndAS transition adjustment</t>
  </si>
  <si>
    <t>Furniture- Fixtures &amp; Electric Light &amp; Fan Install</t>
  </si>
  <si>
    <t>Office Equipment-IndAS transition adjustment</t>
  </si>
  <si>
    <t>Provision for Depriciation on Fixed Assets-IndAS T</t>
  </si>
  <si>
    <t>Provsn for Deprecn on Lease Hold Land &amp; Land Devel</t>
  </si>
  <si>
    <t>Provision for Depreciation on Buildings – IndAS</t>
  </si>
  <si>
    <t>Provn for Deprectn on Hydraulic Works – IndAS tr</t>
  </si>
  <si>
    <t>Prov for Depre on Other Civil Works – IndAS tran</t>
  </si>
  <si>
    <t>Provisn for Deprecn on Plant &amp; Machinery – IndAS</t>
  </si>
  <si>
    <t>Prov for Deprcn on Lines &amp; Cable Network – IndAS</t>
  </si>
  <si>
    <t>Provision for Depreciation on Vehicles – IndAS t</t>
  </si>
  <si>
    <t>Provsn for Depren on Furni, Fixt and Ele Light &amp; F</t>
  </si>
  <si>
    <t>Provsn for Deprecn on Office Equipment – IndAS t</t>
  </si>
  <si>
    <t>INTER-UNIT ACCOUNTS</t>
  </si>
  <si>
    <t>INTER-UNIT A/C</t>
  </si>
  <si>
    <t>INTER-UNIT A/C-UHPS - UKAI (HYDRO)</t>
  </si>
  <si>
    <t>INTER-UNIT A/C-NAVSARI TRANS. CIRCLE</t>
  </si>
  <si>
    <t>INTER-UNIT A/C-ACHHALIA TR. DVN.</t>
  </si>
  <si>
    <t>INTER-UNIT A/C-JAMLA TR DIVISION</t>
  </si>
  <si>
    <t>INTER-UNIT A/C-AMRELI O&amp;M DIVISION-II</t>
  </si>
  <si>
    <t>INTER-UNIT A/C-SURAT O &amp; M CIRCLE</t>
  </si>
  <si>
    <t>INTER-UNIT A/C-SURAT O &amp; M DIVISION</t>
  </si>
  <si>
    <t>INTER-UNIT A/C-BARDOLI O&amp;M DIVISION</t>
  </si>
  <si>
    <t>INTER-UNIT A/C-Kadodara O &amp; M DIVISION</t>
  </si>
  <si>
    <t>INTER-UNIT A/C-VYARA O &amp; M DIVISION</t>
  </si>
  <si>
    <t>INTER-UNIT A/C-SURAT INDUSTRIAL DIVISION</t>
  </si>
  <si>
    <t>INTER-UNIT A/C-BHARUCH (O&amp;M) CIRCLE OFFICE</t>
  </si>
  <si>
    <t>INTER-UNIT A/C-BHARUCH (O&amp;M) DIVISION</t>
  </si>
  <si>
    <t>INTER-UNIT A/C-ANKLESWAR (O &amp; M) DIVISION</t>
  </si>
  <si>
    <t>INTER-UNIT A/C-ANKLESHWAR (INDUSTRIAL) DIVN.</t>
  </si>
  <si>
    <t>INTER-UNIT A/C-RAJPIPLA O &amp; M DIVISION</t>
  </si>
  <si>
    <t>INTER-UNIT A/C-BHARUCH CITY DVN.</t>
  </si>
  <si>
    <t>INTER-UNIT A/C-ANKLESHWAR O &amp; M DIVISION</t>
  </si>
  <si>
    <t>INTER-UNIT A/C-MEHSANA O &amp; M DIVISION</t>
  </si>
  <si>
    <t>INTER-UNIT A/C-VALSAD (O&amp;M) CIRCLE OFFICE</t>
  </si>
  <si>
    <t>INTER-UNIT A/C-VALSAD (O&amp;M) DIVISION</t>
  </si>
  <si>
    <t>INTER-UNIT A/C-NAVSARI (O&amp;M) DIVISION</t>
  </si>
  <si>
    <t>INTER-UNIT A/C-VAPI (O&amp;M) DIVISION</t>
  </si>
  <si>
    <t>INTER-UNIT A/C-NAVSARI CITY DIVISION</t>
  </si>
  <si>
    <t>INTER-UNIT A/C-VAPI INDUSTRIAL DIVISION</t>
  </si>
  <si>
    <t>Inter Company Transfer Valsad City Div</t>
  </si>
  <si>
    <t>INTER-UNIT A/C-PALITANA O &amp; M DIVISION</t>
  </si>
  <si>
    <t>Inter Unit A/c- Rajkot Rural Div</t>
  </si>
  <si>
    <t>Inter Company Transfer-Surat City Circle</t>
  </si>
  <si>
    <t>Inter Company Transfer-Surat Urban Division</t>
  </si>
  <si>
    <t>Inter Company Transfer-Surat Industrial Division</t>
  </si>
  <si>
    <t>Inter Company Rander Div</t>
  </si>
  <si>
    <t>Inter Company Transfer-Piplod Div</t>
  </si>
  <si>
    <t>INTER-UNIT A/C-RAJKOT ZONAL OFFICE</t>
  </si>
  <si>
    <t>INTER-UNIT A/C-RSO-NAVSARI</t>
  </si>
  <si>
    <t>INTER-UNIT A/C-BHARUCH R.S.O.</t>
  </si>
  <si>
    <t>INTER-UNIT A/C-GANDHINAGAR UNIT - V</t>
  </si>
  <si>
    <t>INTER-UNIT A/C-DGVCL</t>
  </si>
  <si>
    <t>LIABILITY FOR PURCHASE OF POWER</t>
  </si>
  <si>
    <t>SUNDRY CREDITORS FOR PURCHASE OF POWER</t>
  </si>
  <si>
    <t>SCPP-FROM WIND FARMS</t>
  </si>
  <si>
    <t>SCPP-FROM NON-CONVENTIONAL ENERGY</t>
  </si>
  <si>
    <t>Sundry Creditors for Power purchased by DISCOMS</t>
  </si>
  <si>
    <t>Liability for purchase of power (SKY Scheme)</t>
  </si>
  <si>
    <t>LIABLTY FR CAPITAL SUPPLIES/WORKS</t>
  </si>
  <si>
    <t>LIABLTY FR SUPPLY OF MATERIALS-CAP.</t>
  </si>
  <si>
    <t>LIABILITY FR SUP OF MATERIALS-CAP.AGNST.WORLD BK O</t>
  </si>
  <si>
    <t>Liability for Supply of Materials Surya Gujarat Schema</t>
  </si>
  <si>
    <t>PROVSN FR LIABLTY FR WORKS (CAPITAL)</t>
  </si>
  <si>
    <t>LIABLTY FR O&amp;M SUPPLIES/WORKS</t>
  </si>
  <si>
    <t>LIABLTY FR SUPPLY OF MATERIALS (O&amp;M)</t>
  </si>
  <si>
    <t>Liability of Supply of Material (SKY Scheme)</t>
  </si>
  <si>
    <t>Liability of Supply of Material (PM-Kusum-B Scheme)</t>
  </si>
  <si>
    <t>SUPPLIER-S CONTROL (O&amp;M)</t>
  </si>
  <si>
    <t>CONTRACTOR-S CONTROL (O&amp;M)</t>
  </si>
  <si>
    <t>PROV FR LIABLTY FR WORKS (O&amp;M)</t>
  </si>
  <si>
    <t>STAFF-RELATED LIABILITIES &amp; PROVS</t>
  </si>
  <si>
    <t>STAFF-RELATED PROVISIONS</t>
  </si>
  <si>
    <t>PROV FR GRATUITY</t>
  </si>
  <si>
    <t>PAYMENT FOR GRATUITY(DEBIT)</t>
  </si>
  <si>
    <t>PROV FR BONUS</t>
  </si>
  <si>
    <t>PAYMENT OF BONUS-DEBIT AC</t>
  </si>
  <si>
    <t>PROVISION FOR LEAVE ENCASHMENT</t>
  </si>
  <si>
    <t>Provision for Employee Benefits</t>
  </si>
  <si>
    <t>UNPAID SALARIES WAGES BONUSETC PAYABLE</t>
  </si>
  <si>
    <t>UNPAID-SALARIES &amp; WAGES-REGULAR STAFF</t>
  </si>
  <si>
    <t>UNPAID-SAL&amp;WGS FR LNG-TRM RETN.INT-BEARING</t>
  </si>
  <si>
    <t>SALARIES WAGES BONUS ETC.PAYABLE</t>
  </si>
  <si>
    <t>NET SALARY PAYABLE</t>
  </si>
  <si>
    <t>DUMMY</t>
  </si>
  <si>
    <t>STAFF DEDUCTIONS &amp; RECOVERIES PAYABLE</t>
  </si>
  <si>
    <t>I-TAX DEDU. AT SOURCE FRM STF-PAYMNT</t>
  </si>
  <si>
    <t>EMPLOYEE-S CONTRI. TO C.P.F.</t>
  </si>
  <si>
    <t>BOARD-S CONTRI. TO C.P.F.</t>
  </si>
  <si>
    <t>LIFE INSURANCE PREMIUM RECOVERED</t>
  </si>
  <si>
    <t>PROFESSIONALTAX RECOVERED</t>
  </si>
  <si>
    <t>FINES &amp; NOTICE PAY RECOVERED</t>
  </si>
  <si>
    <t>C.T.D. RECOVERED</t>
  </si>
  <si>
    <t>EMPLOYEE-S CONTRI. TO E.S.I.S.</t>
  </si>
  <si>
    <t>EMPLOYEE-S VOLUNTARY CONTRI. TO C.P.F.</t>
  </si>
  <si>
    <t>RECOVERY OF C.P.F.ADV.&amp; INT.THEREON.</t>
  </si>
  <si>
    <t>EMPLOYEE CONTRIBUTION FOR PENSION.</t>
  </si>
  <si>
    <t>GEB EMPLOYEE-S CO-OP SOCTY DUES RECOVERY</t>
  </si>
  <si>
    <t>OTHER CO.OP.Employees Society DUES Recovery</t>
  </si>
  <si>
    <t>MISCELLANEOUS RECOVERIES FRM STAFF.</t>
  </si>
  <si>
    <t>AMT. RECD. TOWARDS PENSION FUND FROM EX-EMPLOYEES</t>
  </si>
  <si>
    <t>10% EMPLOYEE-S CONTRIBUTIONTO NEW DEFINED CONTRIBU</t>
  </si>
  <si>
    <t>10% COMPANY-S CONTRIBUTION TO NEW DEFINED CONTRIBU</t>
  </si>
  <si>
    <t>GEB PENA WELFARE SCHEME- 1986</t>
  </si>
  <si>
    <t>SUBSCRIPTION FROM SALARY-GVKUM</t>
  </si>
  <si>
    <t>SUBCRIPTION FROM SALARY _GEEU</t>
  </si>
  <si>
    <t>SUBCRIPTION FROM SALARY _AGVKS</t>
  </si>
  <si>
    <t>SUBCRIPTION FROM SALARY-PENA</t>
  </si>
  <si>
    <t>SUBCRIPTION FROM SALARY-SVKM</t>
  </si>
  <si>
    <t>RECOVERY/DEDU.FOR CM RELIEFFUND</t>
  </si>
  <si>
    <t>EMPLOYEES CONTRI FOR GUJ LABOUR WELFARE FUND</t>
  </si>
  <si>
    <t>RETAINED FIELD ALLOWANCE</t>
  </si>
  <si>
    <t>RETAINED PROJECT ALLOWANCE</t>
  </si>
  <si>
    <t>HIGHERGREADE RETAINTION AM-OUNT.</t>
  </si>
  <si>
    <t>WELFARE SCHEMES</t>
  </si>
  <si>
    <t>STAFF WELFARE FUND</t>
  </si>
  <si>
    <t>EMPLOYEES SUBSCRIPTION-STAFF WELFARE FUND</t>
  </si>
  <si>
    <t>INTEREST ON STAFF WELFARE FUND.</t>
  </si>
  <si>
    <t>EDUCATION AID PAID FROM STAFF WELFARE FUND.</t>
  </si>
  <si>
    <t>MERIT AWARD PAYMENT FROM STAFF WELFARE FUND.</t>
  </si>
  <si>
    <t>MEDICAL AID PAID FROM STAFFWELFARE FUND.</t>
  </si>
  <si>
    <t>STAFF VOLUNTARY RETIREMENT /DEATH BENEVOLENT FUND</t>
  </si>
  <si>
    <t>STAFF VOLUNTARY RETIREMENT CUM DEATH BENEVOLENT FU</t>
  </si>
  <si>
    <t>SUBSCRIPTION FR EMPLOYEES SCH-II</t>
  </si>
  <si>
    <t>INTEREST ON SVRDBF(SCH-II)</t>
  </si>
  <si>
    <t>PAYMENT TO RETIRED EMPLOYEES FR SVRDBF (SCH-II)</t>
  </si>
  <si>
    <t>PAYMENT TO LEGAL HEIR OF DECEASED EMP FRM SVRDBF</t>
  </si>
  <si>
    <t>OTHER LIABILITES AND PROVS.</t>
  </si>
  <si>
    <t>DEPOSITS-SUPLIERS/CONTRACTORS &amp; OTHRS.</t>
  </si>
  <si>
    <t>S.D.FROM SUPPLIERS/CONTRACTORS IN CASH</t>
  </si>
  <si>
    <t>S.D. FROM SUPP./CONTRACTORS-OTHER THAN CASH</t>
  </si>
  <si>
    <t>E.M.D FRM SUPPLIERS/CONTRACTORS</t>
  </si>
  <si>
    <t>RETENTION MONEY FRM SUPPLIERS/CONTRACTR</t>
  </si>
  <si>
    <t>RETENTION MONEY P&amp;P BILLS</t>
  </si>
  <si>
    <t>S.D.FROM COLLECTION AGENCIES IN CASH</t>
  </si>
  <si>
    <t>RETENTION MONEY SUPPLY/CONTRACTOR-(GST)</t>
  </si>
  <si>
    <t>S.D.FR BILL COLLN AGENCIES IN OTH THN CASH</t>
  </si>
  <si>
    <t>Security Deposit for Fly Ash</t>
  </si>
  <si>
    <t>RETENTION MONEY FROM SUPPLIER-ENERGY (COMM)</t>
  </si>
  <si>
    <t>Deposit Under Solar Roof Top Scheme</t>
  </si>
  <si>
    <t>Retention towards Performance Bank Guarantee Surya Gujarat Schema</t>
  </si>
  <si>
    <t>MISC. DEPOSIT- GETCO</t>
  </si>
  <si>
    <t>DEPOSITS FRM OTHERS.</t>
  </si>
  <si>
    <t>DEPOSITS FROM OTHERTS-BILLING</t>
  </si>
  <si>
    <t>MISC. DEPOSIT - P&amp;P DEPTT.</t>
  </si>
  <si>
    <t>MISC.DEPOSIT -CASH SECTION</t>
  </si>
  <si>
    <t>MISC. DEPOSIT -PAYBILL GROUP</t>
  </si>
  <si>
    <t>MISC. DEPOSIT -SP DEPARTMENT</t>
  </si>
  <si>
    <t>MISC. DEPOSIT- CPF DEPTT.</t>
  </si>
  <si>
    <t>MISC DEPOSIT -RESOURCES SECION</t>
  </si>
  <si>
    <t>MISCELLANEOUS DEPOSIT- REVENUE SECTION</t>
  </si>
  <si>
    <t>ELE.DUTY TAX ON SALE OF ELE.PAYABLE-GOVT</t>
  </si>
  <si>
    <t>ELECTRICITY DUTY PAYABLE TO STATE GOVT</t>
  </si>
  <si>
    <t>DOUBTFUL RECOVERY OF ED(ASSESSED &amp;PAID)</t>
  </si>
  <si>
    <t>ELECTRICITY DUTY - DEFERRED</t>
  </si>
  <si>
    <t>DOUBTFUL RECOVERY OF TSE(ASSESSED &amp; PAID)</t>
  </si>
  <si>
    <t>TAX ON SALE OF ELECTRICITY-DEFERRED</t>
  </si>
  <si>
    <t>WAIVER OF ED UNDER THE AMNESTY SCHEME</t>
  </si>
  <si>
    <t>Compounding Fee payable to State Govt.</t>
  </si>
  <si>
    <t>Temp</t>
  </si>
  <si>
    <t>LIABILITY FOR EXPENSES</t>
  </si>
  <si>
    <t>S CREDITORS FR EXPENSES</t>
  </si>
  <si>
    <t>DOCKET VOUCHERS SENT TO HO</t>
  </si>
  <si>
    <t>Unspent CSR for Ongoing Project</t>
  </si>
  <si>
    <t>Provision for Liability for Expenses-Others</t>
  </si>
  <si>
    <t>ACRUED/UNCLAIMED AMTS TO BOROWNGS.</t>
  </si>
  <si>
    <t>INT ACCR BUT NOT DUE ON LOAN UNDER APDP</t>
  </si>
  <si>
    <t>INT ACC B.N.D. SPA SCHEME LOANS</t>
  </si>
  <si>
    <t>INT.ACCRED B.N.D.ON LOANS FROM PFC</t>
  </si>
  <si>
    <t>PROVISION FOR INCOME TAX</t>
  </si>
  <si>
    <t>PROVISION FOR MAT</t>
  </si>
  <si>
    <t>SUNDRY LIABILITIES &amp; PROVISIONS</t>
  </si>
  <si>
    <t>DEPOSIT RECEIVED FOR TATKAL CONNECTION</t>
  </si>
  <si>
    <t>Tax Deducted at Source on Central Goods &amp; Service Tax(CGST)</t>
  </si>
  <si>
    <t>Tax Deducted at Source on State Goods &amp; Servcie Tac(SGST)</t>
  </si>
  <si>
    <t>Tax Deducted at Source on Integrated Goods &amp; Servcie Tac(IGST)</t>
  </si>
  <si>
    <t>TCS collected on Sale of Electricity</t>
  </si>
  <si>
    <t>TCS collected on Sale of Goods, Others</t>
  </si>
  <si>
    <t>Rejected RTGS/NEFT Payment Transactions</t>
  </si>
  <si>
    <t>STALE CHEQUES</t>
  </si>
  <si>
    <t>DEPO.FROM NTPC FOR TRANS. LINES</t>
  </si>
  <si>
    <t>EXP.ON TR.LINES AGNST DEPOSIT FR-NTPC(DR)</t>
  </si>
  <si>
    <t>S.DEPOSITS FRM EMPLOYEES</t>
  </si>
  <si>
    <t>DEPOSITS FR EXECUTION OF JOBS/WORKS</t>
  </si>
  <si>
    <t>ADV RECEIVED FR SALE OF STORES SCRAP ETC</t>
  </si>
  <si>
    <t>I-TDS ON PAYMENT OF INT.OF ON BORROWINGS</t>
  </si>
  <si>
    <t>I-TDS ON PAYMENT TO CONTRACTORS.</t>
  </si>
  <si>
    <t>I-TDS ON OTHER PAYMENTS.</t>
  </si>
  <si>
    <t>AMTS PAYABLE TO R.P.F.C.</t>
  </si>
  <si>
    <t>LIABILITY FOR CENTRAL SALESTAX</t>
  </si>
  <si>
    <t>AMTS.RECEIVED FRM LIC UNDER GR.INSURANCE</t>
  </si>
  <si>
    <t>LIABLTY FR UNISSUED CHEQUES</t>
  </si>
  <si>
    <t>LIABLTY FR CENTRAL EXCISE</t>
  </si>
  <si>
    <t>BOARD OF TRUSTEES OF C.P.F.</t>
  </si>
  <si>
    <t>EXCESS AMOUNT CREDITED BY BANK</t>
  </si>
  <si>
    <t>GRANTS FOR EXP.ON RESEARCH FOR POWER</t>
  </si>
  <si>
    <t>Advance received against VGF Liability towards power producers</t>
  </si>
  <si>
    <t>INCOME RECEIVED IN ADVANCE</t>
  </si>
  <si>
    <t>SALES TAX DEDUCTED AT SOURE</t>
  </si>
  <si>
    <t>TAX DEDUCTED AT SOURCE</t>
  </si>
  <si>
    <t>LIABILITY FOR SERVICE TAX COLLECTION</t>
  </si>
  <si>
    <t>Income Tax deducted at source on payment of Provid</t>
  </si>
  <si>
    <t>Liability for Service Tax Collection – Solar Roo</t>
  </si>
  <si>
    <t>WORKERS WELFARE CESS</t>
  </si>
  <si>
    <t>Claim Receivable from KFW</t>
  </si>
  <si>
    <t>Liability for Central Goods &amp; Service Tax(CGST)</t>
  </si>
  <si>
    <t>Liability for state Goods &amp; Service Tax(SGST)</t>
  </si>
  <si>
    <t>Liability for Integrated Goods &amp; Service Tax(IGST)</t>
  </si>
  <si>
    <t>Liability for SGST on Inter-Company Sale of Materr</t>
  </si>
  <si>
    <t>Liability for CGST on Inter-Company Sale of Materi</t>
  </si>
  <si>
    <t>TCS Collected on Sale of Electricity to Consumers</t>
  </si>
  <si>
    <t>PROV FR LOSSES PENDING INVESTIGATION</t>
  </si>
  <si>
    <t>Liability for EBI-payable to consumer (SKY Scheme)</t>
  </si>
  <si>
    <t>Liability of Payment to consumer under SKY Scheme (Balance amount after adjustment of Loan Installme</t>
  </si>
  <si>
    <t>Liability for Payment of GOG subsidy towards Surya Gujarat Scheme</t>
  </si>
  <si>
    <t>Liability for Payment of MNRE subsidy towards Surya Gujarat Scheme</t>
  </si>
  <si>
    <t>DEPOSITS FOR ELECTRIFICATION/SERVICE CONN.</t>
  </si>
  <si>
    <t>DEPOSITS FR ELECTRIFICATION OF VILLAGES</t>
  </si>
  <si>
    <t>DEPOSITS FR ELECT.OF IND.ESTATE</t>
  </si>
  <si>
    <t>DEPOSITS FOR SERVICE CONNECTIONS</t>
  </si>
  <si>
    <t>SERVICE CONNECTION ESTIMATECHARGES</t>
  </si>
  <si>
    <t>DEPOSITS FRM AGRI.CNSMS UNDER AFC-II SCHME.</t>
  </si>
  <si>
    <t>Amount Received From GoG / GUVNL under SKY Scheme(WIP)</t>
  </si>
  <si>
    <t>Amount received from GoG/GUVNL under PM KUSUM-B Scheme (WIP)</t>
  </si>
  <si>
    <t>Amount received from GoG/GUVNL under PM KUSUM-C Scheme (WIP)</t>
  </si>
  <si>
    <t>Deposit for Small Scale Distributed Solar Projects</t>
  </si>
  <si>
    <t>DEPOSITS FR H.T.SERVICE CONNECTIONS</t>
  </si>
  <si>
    <t>Deposit for HT Job Work-KVA based</t>
  </si>
  <si>
    <t>DEPOSITS FR TEMP.SERVICE CONNECTIONS</t>
  </si>
  <si>
    <t>DEPOSIT/LOANS FROM CONSUMERFOR ELE.OF A.G.WELLS.</t>
  </si>
  <si>
    <t>DEPOSITE/LOAN RECD. FROM THE CONSUMER OF DARK ZONE</t>
  </si>
  <si>
    <t>DEVP.CHGS.FROM LT CONSUMERS</t>
  </si>
  <si>
    <t>DEVP.CHGS.FROM HT CONSUMERSPART-A</t>
  </si>
  <si>
    <t>DEVP. CHGS FROM HT CONSUMERPART-B</t>
  </si>
  <si>
    <t>OTHER DEPOSITS FRM CONSUMERS</t>
  </si>
  <si>
    <t>DEPOSITS FR AGREEMENTS</t>
  </si>
  <si>
    <t>Deposit for PM-KUSUM-B Connection &amp; Charges for Solar Pump</t>
  </si>
  <si>
    <t>MISCELLANEOUS DEPOSITS FRM CONS</t>
  </si>
  <si>
    <t>SECURITY DEPOSITS FROM CONSUMERS</t>
  </si>
  <si>
    <t>S.D.FROM CONSUMERS IN CASH</t>
  </si>
  <si>
    <t>S.D.FROM CONSUMERS AGAINST ENERGY BILLS-IND.HIGH V</t>
  </si>
  <si>
    <t>SD FR CONS AG-IST ENGR.BILL-TRACTION-RAILWAYS</t>
  </si>
  <si>
    <t>INT.PAYABLE ON CONS.SECURITY DEPOST</t>
  </si>
  <si>
    <t>INT.PAYABLE ON CONS.SECURITY DEPOSIT</t>
  </si>
  <si>
    <t>BOROWNGS FR WORKING CAPITAL</t>
  </si>
  <si>
    <t>CASH CREDIT FRM BANKS</t>
  </si>
  <si>
    <t>BANK OF BARODA-CC A/C</t>
  </si>
  <si>
    <t>DENA BANK-CC A/C</t>
  </si>
  <si>
    <t>STATE BANK OF INDIA-CC (OLDSBS)</t>
  </si>
  <si>
    <t>PAYMENTS DUE ON CAPITAL LIABILITIES</t>
  </si>
  <si>
    <t>INT. ACCRUED AND DUE</t>
  </si>
  <si>
    <t>Interest Accrued &amp; Due on Loan from GoG-SKY Scheme</t>
  </si>
  <si>
    <t>Interest Accrued &amp; Due on Loan from GoG-Sky Scheme-EBI</t>
  </si>
  <si>
    <t>CAP.LIABILTIES-OTHR THAN STATE GOVT LOAN</t>
  </si>
  <si>
    <t>LOAN FROM PFC</t>
  </si>
  <si>
    <t>CAPITAL LIABILITIES</t>
  </si>
  <si>
    <t>LOANS FRM N.A.B.A.R.D.</t>
  </si>
  <si>
    <t>35% Loan from GoG-SKY Scheme</t>
  </si>
  <si>
    <t>30% Loan from GoG-SKY Scheme(EBI)</t>
  </si>
  <si>
    <t>FUNDS FROM STATE GOVERNMENT</t>
  </si>
  <si>
    <t>STATE GOVT.LOANS U/S.64 OF E.S.ACT-1948.</t>
  </si>
  <si>
    <t>LOAN TO GEB UNDER APDP.</t>
  </si>
  <si>
    <t>CONTRI GRNTS &amp; SUB.TOWRDS COST OF CAP-ASETS</t>
  </si>
  <si>
    <t>CONS.CONTRI. TOWARDS COST OF CAP ASET</t>
  </si>
  <si>
    <t>CONS.CONTRI.TOWARDS COST OFCAP.ASSETS</t>
  </si>
  <si>
    <t>CONTRIBUTION RECD FROM CONSUMERS OF DARK ZONE AREA</t>
  </si>
  <si>
    <t>Consumers Contribution towards SKY Scheme</t>
  </si>
  <si>
    <t>GRANTS TOWARDS COST OF CAP. ASETS</t>
  </si>
  <si>
    <t>GRANT RECD FR GOVT. UNDER JYOTI GRAM YOJNA</t>
  </si>
  <si>
    <t>Grant towards SKY Scheme MNRE-SPV Panel</t>
  </si>
  <si>
    <t>Grant for assets other than SPV panel under SKY Scheme</t>
  </si>
  <si>
    <t>RESERVE &amp; SURPLUS</t>
  </si>
  <si>
    <t>Deferred Income towards Government Grants/Consumer</t>
  </si>
  <si>
    <t>Consumer?s contribution towards cost of capital as</t>
  </si>
  <si>
    <t>Consumer?s contribution from dark zone area.</t>
  </si>
  <si>
    <t>Subsidies towards cost of capital assets</t>
  </si>
  <si>
    <t>GRANTS TOWARDS COST OF CAPITAL ASSETS</t>
  </si>
  <si>
    <t>Grant under Accelerated Power Development Program</t>
  </si>
  <si>
    <t>SURPLUS</t>
  </si>
  <si>
    <t>REVENUE ACCOUNT</t>
  </si>
  <si>
    <t>NET REVENUE &amp; APPROPRIATION ACCOUNT</t>
  </si>
  <si>
    <t>Re-measurement of Defined Benefit Plans-(OCI)- Ind</t>
  </si>
  <si>
    <t>SHARE CAPITAL</t>
  </si>
  <si>
    <t>SUBSCRIBED SHARE CAPITAL</t>
  </si>
  <si>
    <t>SHARE APPLICATION MONEY A/C</t>
  </si>
  <si>
    <t>SHARE CAPITAL ACCOUNT</t>
  </si>
  <si>
    <t>SECURITIES PREMIUM ACCOUNT</t>
  </si>
  <si>
    <t>REVENUE FROM SALE OF POWER.</t>
  </si>
  <si>
    <t>REVENUE FRM SALE OF PWR-OTHER CNSMS.</t>
  </si>
  <si>
    <t>REV FRM SALE OF PWR-DOMESTIC</t>
  </si>
  <si>
    <t>REV FRM SALE OF PWR-DOMESTIC-DEMAND/F.CHARGE</t>
  </si>
  <si>
    <t>REV FRM SALE OF PWR-DOMESTIC-ENERGY CHRG</t>
  </si>
  <si>
    <t>REV FRM SALE OF PWR-DOMESTIC-F.C.ADJ.CH. .</t>
  </si>
  <si>
    <t>REVENUE FROM SALE OF PWR-PROVI.BILLING-RESIDENTIAL</t>
  </si>
  <si>
    <t>REV FRM SALE OF PWR-DOMESTIC-ADJ.TO PAST BLNGS.</t>
  </si>
  <si>
    <t>REV FRM SALE OF PWR-DOMESTIC-BORD CHRG DEBIT</t>
  </si>
  <si>
    <t>REV FRM SALE OF PWR-COMMERCIAL</t>
  </si>
  <si>
    <t>REV FRM SALE OF PWR-COMM.-DEMAND/FIX CH.</t>
  </si>
  <si>
    <t>REVNUE FRM SALE OF PWR-COMMERCIAL-ENERGY CHRGS</t>
  </si>
  <si>
    <t>REV FRM SALE OF PWR-COMMERCIAL-F.C.ADJ.CHRGS.</t>
  </si>
  <si>
    <t>REVENUE FROM SALE OF POWER-PROVI.BILLING-COMMERCIA</t>
  </si>
  <si>
    <t>REV FRM SALE OF PWR-COMERCIL-ADJ.TO PAST BLNG</t>
  </si>
  <si>
    <t>REV FRM SALE OF PWR-COMERCIAL-T.BORD CHRG DIBIT</t>
  </si>
  <si>
    <t>REV FRM SALE OF PWR-INDUSTRIAL-L T</t>
  </si>
  <si>
    <t>REV FRM SAL OF PWR IND-L T DEMAND/F.CHRGS</t>
  </si>
  <si>
    <t>REV FRM SALE OF PWR-IND-L T- ENERGY CHRGS</t>
  </si>
  <si>
    <t>REV FRM SAL OF PWR-IND-L T-F.C.ADJ.CHRGS</t>
  </si>
  <si>
    <t>REV FRM SAL OF PWR-IND-L T-A.M.C/A.M.G.</t>
  </si>
  <si>
    <t>REVENUE FROM SALE OF POWER-PROVI.BILLING-IND.LOW&amp;M</t>
  </si>
  <si>
    <t>REV FRM SAL OF PWR-IND-L T-ADJ TO PAST BLNG</t>
  </si>
  <si>
    <t>REV FRM SAL OF PWR-IND-L T-BORD CHRG DIBIT</t>
  </si>
  <si>
    <t>REV.FRM SAL OF PWR-INDUSTR IAL H T</t>
  </si>
  <si>
    <t>REV FRM SAL OF PWR-IND-H T-DEMAND CHRGS</t>
  </si>
  <si>
    <t>REV FRM SAL OF PWR-IND-H T-ENERGY CHRGS</t>
  </si>
  <si>
    <t>REV FRM SAL OF PWR-IND-H T-TIME OF USE CHRG</t>
  </si>
  <si>
    <t>REV FRM SAL OF PWR-IND-H T-F.C ADJ.CHRG</t>
  </si>
  <si>
    <t>REV FRM SAL OF PWR-IND-H T-(A.M.C)/(A.M.G.)</t>
  </si>
  <si>
    <t>REV FRM SAL OF PWR-IND-H T-OTHER CHRGS</t>
  </si>
  <si>
    <t>REV FRM SAL OF PWR-IND-H T-AD.TO PAST BLNG</t>
  </si>
  <si>
    <t>REV FRM SAL OF PWR-IND-H T-CONCESSIONS</t>
  </si>
  <si>
    <t>REV FRM SAL OF PWR-IND-H T-BRD CHRG DIBIT</t>
  </si>
  <si>
    <t>REVENUE FRM SALE OF PWR-PUBLIC LIGHTING</t>
  </si>
  <si>
    <t>REVENUE FROM SALE OF POWER-PROVI.BILLING-PUBLIC LI</t>
  </si>
  <si>
    <t>REVENUE FRM SALE OF PWR-TRACTION-RAILWAYS</t>
  </si>
  <si>
    <t>REVENUE FRM SALE OF PWR-IRRIGATION-AG</t>
  </si>
  <si>
    <t>REV.FR SALE OF POWER-PROVI.BILLING-IRRIGATION AG-R</t>
  </si>
  <si>
    <t>REV FRM SALE OF PWR-PUBLIC W/W &amp; SEWERAGE</t>
  </si>
  <si>
    <t>REVENUE FROM SALE OF POWER-PROVI.BILLING-PUBLIC WA</t>
  </si>
  <si>
    <t>Revenue from Sale of Power-PWW-Concessions/Rebate-</t>
  </si>
  <si>
    <t>ELECTRICITY DUTY/TAX ON SALE OF ELECT.</t>
  </si>
  <si>
    <t>ED ASSESSED-DOMESTIC OR RESIDENTIAL CR.A/C.</t>
  </si>
  <si>
    <t>ED ASSESSED-COMMERCIAL_CR A/C</t>
  </si>
  <si>
    <t>ED ASSESSED -IND. LOW &amp; MED VOLT -CR A/C</t>
  </si>
  <si>
    <t>ED ASSESSED INDUSTRIAL HIGHVOLTAGE CREDIT A/C</t>
  </si>
  <si>
    <t>ED ASSESSEDA PUBLIC LIGHTING -CR A/C</t>
  </si>
  <si>
    <t>ED ASSESSED IRRIGATION-AGRI CR A/C</t>
  </si>
  <si>
    <t>ED ASSESSED-PUBLIC WATER WORKS-CR A/C</t>
  </si>
  <si>
    <t>ED ASSESSED IRRI. PDC CONSUMERS.</t>
  </si>
  <si>
    <t>ED ASSESSED BILLS TO NON CONSUMERS FOR THEFT</t>
  </si>
  <si>
    <t>ELECT.DUTY ASSESSED (CONTRA)-DEBIT</t>
  </si>
  <si>
    <t>RENTAL FR MTRS SERVCE LINES CAPCITORS</t>
  </si>
  <si>
    <t>RENTAL FR MTRS SERVCE LINE CAPCITOR ETC</t>
  </si>
  <si>
    <t>BOARD CHRGS FR THEFT/MALPRACTICES.</t>
  </si>
  <si>
    <t>RECOV.FR THEFTS OF PWR &amp; MALPRACTICES</t>
  </si>
  <si>
    <t>WHEELING CHARGES INCOME</t>
  </si>
  <si>
    <t>WHEELING CHARGES RECOVERIES-OTHERS</t>
  </si>
  <si>
    <t>UNSCHEDULED INTER-CHANG(UI)CHARGES RECOVERABLE</t>
  </si>
  <si>
    <t>Transmission Charges Income from Wind Farms</t>
  </si>
  <si>
    <t>MISCELLANEOUS CHRGS FRM CNSMS</t>
  </si>
  <si>
    <t>FUSE CHRGS</t>
  </si>
  <si>
    <t>RECONNECTION FEE</t>
  </si>
  <si>
    <t>REV FRM MINI BILLS TO UNCONNECTED CNSMS</t>
  </si>
  <si>
    <t>REV.FRM MINIMUM BILLS TO DISCONCTD CNSMS</t>
  </si>
  <si>
    <t>Meter Testing Charges</t>
  </si>
  <si>
    <t>METER REPAIRING CHARGES FROM CONSUMERS</t>
  </si>
  <si>
    <t>METER BOX CHRGS</t>
  </si>
  <si>
    <t>REGISTRATION CHARGES FOR RESISTING APPLN.FOR POW</t>
  </si>
  <si>
    <t>SERVICE CONNECTION CHARGES FROM CONSUMERS</t>
  </si>
  <si>
    <t>INSPECTION FEE</t>
  </si>
  <si>
    <t>PARALLEL OPERATION CHARGES</t>
  </si>
  <si>
    <t>OTHER CHRGS FRM CNSMS</t>
  </si>
  <si>
    <t>APPLICATION REGISTRATION CHGS</t>
  </si>
  <si>
    <t>CROSS SUBSIDY SURCHARGE FROM ACCESS CONSUMERS</t>
  </si>
  <si>
    <t>ADDITIONAL SURCHARGE FROM OPEN ACCESS CONSUMERS</t>
  </si>
  <si>
    <t>Income from SLDC charges</t>
  </si>
  <si>
    <t>TESTING CH.INCLUDING SERVICE CH.FOR HOT LINE MAINT</t>
  </si>
  <si>
    <t>Connectivity Charges for Solar</t>
  </si>
  <si>
    <t>Bi-Directional Meter Charges with SMC Box - Solar</t>
  </si>
  <si>
    <t>Bi-Directional Meter Testing Charges Solar Roo</t>
  </si>
  <si>
    <t>Connectivity Charges for Small Scale Distributed Solar Projects</t>
  </si>
  <si>
    <t>Supervision Charges for Small Scale Distributed Solar Projects</t>
  </si>
  <si>
    <t>OTHER INCOME</t>
  </si>
  <si>
    <t>INCOME FRM LOANS ADVNCES INV. ETC</t>
  </si>
  <si>
    <t>INT. ON H.B.A TO STAFF</t>
  </si>
  <si>
    <t>INT. ON OTHER LOANS &amp; ADVANCE TO STF</t>
  </si>
  <si>
    <t>INTEREST ON I.T.REFUND</t>
  </si>
  <si>
    <t>DPC-HT CONS.-IND. HIGH VOLTAGE CONS.</t>
  </si>
  <si>
    <t>DPC-HT-IRRIGATION AGRICULTURE</t>
  </si>
  <si>
    <t>DPC-HT-PDC</t>
  </si>
  <si>
    <t>DPC-HT-UNCONNECTED CONSUMERS</t>
  </si>
  <si>
    <t>DPC-LT-RESIDENTIIAL/DOMESTIC L</t>
  </si>
  <si>
    <t>DPC-LT-COMMERCIAL</t>
  </si>
  <si>
    <t>DPC-LT-IND.LOW &amp; MEDIUM VOLTAGE</t>
  </si>
  <si>
    <t>DPC-LT-PUBLIC LIGHTING</t>
  </si>
  <si>
    <t>DPC-LT-IRRIGATION AGRICULTURE</t>
  </si>
  <si>
    <t>DPC-LT-PUB.WATER WORKS &amp; SEWERAGE PUMPS</t>
  </si>
  <si>
    <t>DPC-LT-PDC CONSUMERS</t>
  </si>
  <si>
    <t>DPC-LT-UNCONNECTED CONSUMERS</t>
  </si>
  <si>
    <t>INCOME FRM TRADING</t>
  </si>
  <si>
    <t>SALE OF SCRAP</t>
  </si>
  <si>
    <t>OTHER MISC receipts from Trading/Power Purchase/Sa</t>
  </si>
  <si>
    <t>GAIN ON SALE OF FIXED ASETS</t>
  </si>
  <si>
    <t>VAL.-CABLES METER TO STORE-PERM.DISC.</t>
  </si>
  <si>
    <t>INCOME FROM STAFF WELFARE ACTIVITIES</t>
  </si>
  <si>
    <t>MISCELLANEOUS RECEIPTS</t>
  </si>
  <si>
    <t>INCOME FRM RENTALS-STAFF QUARTERS</t>
  </si>
  <si>
    <t>GUEST HOUSE CHRGS</t>
  </si>
  <si>
    <t>INC FRM WATER CHRGS REC. FRM EMP/CONT</t>
  </si>
  <si>
    <t>REC FR TPT &amp; VEHI EXP OTHERTHAN STAFF</t>
  </si>
  <si>
    <t>REFUNDS FROM INCOME TAX</t>
  </si>
  <si>
    <t>COMMISION FR COLLECTION OF ELECT DUTY</t>
  </si>
  <si>
    <t>CASH DISCOUNT</t>
  </si>
  <si>
    <t>Tender Fees</t>
  </si>
  <si>
    <t>INC.FRM SUPRVSION CHGS ON SALE OF STORE</t>
  </si>
  <si>
    <t>INCOME FROM SUP.CH. ON EXC.OF JOB/DEPOSIT WORK.</t>
  </si>
  <si>
    <t>REGISTRATION FEES-SUPPLRS CONTRACTORS</t>
  </si>
  <si>
    <t>ADMN. &amp; SUP. COST ABSORBED COST OF FABRI.MATERIAL</t>
  </si>
  <si>
    <t>PENALTIES REC.FRM SUPPLIER/CONTRCTR</t>
  </si>
  <si>
    <t>PENALTY AGAINST ADV FR EMPLOYEES</t>
  </si>
  <si>
    <t>INS.PREMIUM RECOVERED FOR HBA LOAN</t>
  </si>
  <si>
    <t>REBATE (CASH DISCOUNT) FOR PROMPT PAYMENT AGAINST PURCHASE OF POWER</t>
  </si>
  <si>
    <t>CDM BENEFIT FR RENEWABLE ENERGY SOURCES</t>
  </si>
  <si>
    <t>RECOVERY OF O&amp;M CHARGES FROM WIND FARMS.</t>
  </si>
  <si>
    <t>RECOVERY OF O&amp;M CHARGES FROM OTHERS.</t>
  </si>
  <si>
    <t>Penalties recovered from Suppliers / Contractors - Surya Gujarat Schema</t>
  </si>
  <si>
    <t>OTHER MISCELLANEOUS RECEIPTS</t>
  </si>
  <si>
    <t>Receipt under Right to Information Act, 2005</t>
  </si>
  <si>
    <t>Other Miscellaneous Receipts- Ind AS</t>
  </si>
  <si>
    <t>Reactive Charges Income from Wind Farms</t>
  </si>
  <si>
    <t>Reactive Charges Income from Others</t>
  </si>
  <si>
    <t>SUBSIDIES AND GRANTS</t>
  </si>
  <si>
    <t>REVENUE SUBSIDIES &amp; GRANTS</t>
  </si>
  <si>
    <t>AGRICULTURAL REVENUE SUBSIDIES</t>
  </si>
  <si>
    <t>TARIFF COMPANSATION SUBSIDY</t>
  </si>
  <si>
    <t>Other Subsidiary for Tariff Compensation</t>
  </si>
  <si>
    <t>GRANTS FR R &amp; D EXPENSES</t>
  </si>
  <si>
    <t>ENERGY CONSERVATION GRANT</t>
  </si>
  <si>
    <t>Income towards Government grants / Consumer contri</t>
  </si>
  <si>
    <t>Income towards Govt grants / Consumer contri(Diffe</t>
  </si>
  <si>
    <t>Inter-Company Sale of Material</t>
  </si>
  <si>
    <t>PRIOR-PRD INCOME</t>
  </si>
  <si>
    <t>OTHER EXCESS PROV IN PRIOR PERIODS</t>
  </si>
  <si>
    <t>OTHER EXCESS PROV IN PR PERIODS</t>
  </si>
  <si>
    <t>POWER PURCHASED</t>
  </si>
  <si>
    <t>POWER PURCHAED</t>
  </si>
  <si>
    <t>POWER PURCHASED FROM WIND FARMS</t>
  </si>
  <si>
    <t>POWER PURCHASED FROM RENEWABLE SOURCES</t>
  </si>
  <si>
    <t>POWER PUR FR GUVNL</t>
  </si>
  <si>
    <t>WHEELING CHRGS</t>
  </si>
  <si>
    <t>U I CHARGES</t>
  </si>
  <si>
    <t>Power Purchased (By DISCOMs)</t>
  </si>
  <si>
    <t>Power Purchased from Roof Top Solar Consumers(By D</t>
  </si>
  <si>
    <t>Power Purchase (SKY Scheme)</t>
  </si>
  <si>
    <t>Purchase of Material(Inter-Company Sale)</t>
  </si>
  <si>
    <t>REPAIRS AND MAINTENANCE</t>
  </si>
  <si>
    <t>R &amp; M TO PLANT &amp; MACHI&amp;TRANS</t>
  </si>
  <si>
    <t>R &amp; M TO PLANT AND MACHI&amp;TRANS</t>
  </si>
  <si>
    <t>R&amp;M INCURRED ON RESTO-ION OF DAMAGE DUETO FLOOD&amp;CY</t>
  </si>
  <si>
    <t>REPAIRS &amp; MAINTAINANCE TO BUILDINGS</t>
  </si>
  <si>
    <t>R &amp; M TO BUILDINGS</t>
  </si>
  <si>
    <t>R &amp; M TO CIVIL WORKS</t>
  </si>
  <si>
    <t>R &amp; M TO HYDRALIC WRKS</t>
  </si>
  <si>
    <t>R &amp; M TO LINES &amp; CABLE NET WORKS</t>
  </si>
  <si>
    <t>REPAIRS &amp; MAINTAINANCE TO VEHICLES</t>
  </si>
  <si>
    <t>R &amp; M TO VEHICLES</t>
  </si>
  <si>
    <t>REPAIRS &amp; MAINTAINANCE TO FURNITURE FIX ELCT.LIGHT</t>
  </si>
  <si>
    <t>R &amp; M TO FURNITURE FIX ETC</t>
  </si>
  <si>
    <t>R&amp;M FURNITURE NIRMAL GUJ</t>
  </si>
  <si>
    <t>R &amp; M TO OFFICE EQUIPMNT</t>
  </si>
  <si>
    <t>R &amp; M CAPITALISED CR A/C</t>
  </si>
  <si>
    <t>EMPLOYEE COSTS</t>
  </si>
  <si>
    <t>SALARIES WAGES</t>
  </si>
  <si>
    <t>OVER TIME</t>
  </si>
  <si>
    <t>DEARNESS ALLOWANCE</t>
  </si>
  <si>
    <t>OTHER ALLOWANCES.</t>
  </si>
  <si>
    <t>SPECIAL COMP. ALLOWANCE</t>
  </si>
  <si>
    <t>H.R.A.</t>
  </si>
  <si>
    <t>C.L.A.</t>
  </si>
  <si>
    <t>FIELD ALLOWANCE</t>
  </si>
  <si>
    <t>OTHER ALLOWANCE</t>
  </si>
  <si>
    <t>SPECIAL ALLOWANCE</t>
  </si>
  <si>
    <t>6% Allowance to Engineers against leave</t>
  </si>
  <si>
    <t>PERFORMANCE INCENTIVE</t>
  </si>
  <si>
    <t>BONUS</t>
  </si>
  <si>
    <t>OTHER STAFF COSTS</t>
  </si>
  <si>
    <t>MEDICAL EXPENSES REIMBURSEMENT</t>
  </si>
  <si>
    <t>LEAVE TRAVEL CONCESSION (L.T.C.)</t>
  </si>
  <si>
    <t>EARNED LEAVE ENCASHMENT</t>
  </si>
  <si>
    <t>DEATH &amp; ACCIDENTAL COMPENSATION</t>
  </si>
  <si>
    <t>PAYMNTS UNDER WRKMEN-S COMPNSATION</t>
  </si>
  <si>
    <t>BORD-S CONTRI. UNDER B-BAY L.W ACT</t>
  </si>
  <si>
    <t>E.D.L.I.ADMINISTRATION CHRGS</t>
  </si>
  <si>
    <t>STAFF-WELFARE EXPENSES</t>
  </si>
  <si>
    <t>MEDICAL EXPENSES (STAFF-WELFARE)</t>
  </si>
  <si>
    <t>CANTEEN EXPENSES</t>
  </si>
  <si>
    <t>UNIFRMS &amp; LIVERY EXPENSES</t>
  </si>
  <si>
    <t>RECREATION EXPENSES</t>
  </si>
  <si>
    <t>DIFFERRENTIAL AMT OF EMPLOYEES CONTR &amp; PAYM UND SR</t>
  </si>
  <si>
    <t>PREMIUM UNDER GR.INSURANCE SCHEME</t>
  </si>
  <si>
    <t>OTHER STAFF-WELFARE EXPENSES</t>
  </si>
  <si>
    <t>PAYMENT ON COMPN TO DEPENDTOF DECSED EMPL</t>
  </si>
  <si>
    <t>PERQUISITE TAX</t>
  </si>
  <si>
    <t>TERMINAL BENEFITS</t>
  </si>
  <si>
    <t>C.P.F.-BOARD-S CONTRI.</t>
  </si>
  <si>
    <t>GRATUITY</t>
  </si>
  <si>
    <t>Re-measurement of the defined benefit plans - Ind</t>
  </si>
  <si>
    <t>C.P.F.INSPECTION AND AUDIT CHRGS</t>
  </si>
  <si>
    <t>PENSION -BOARD-S CONTRIBUTION</t>
  </si>
  <si>
    <t>LEAVE ENCASHMENT ON RETIREMENT</t>
  </si>
  <si>
    <t>Retirement Benefit to Employees</t>
  </si>
  <si>
    <t>EMPLOYEE COSTS CAPITTALISEDCR A/C</t>
  </si>
  <si>
    <t>EMPLOYEE COSTS CAPITALISED CR A/C</t>
  </si>
  <si>
    <t>ADMINISTRATION AND GEN.EXPENSES</t>
  </si>
  <si>
    <t>ADMINISTRATION EXPENSES</t>
  </si>
  <si>
    <t>Rent(Excluding Lease Rentals)</t>
  </si>
  <si>
    <t>RATES &amp; TAXES</t>
  </si>
  <si>
    <t>INSURANCE ON FIXED ASETS</t>
  </si>
  <si>
    <t>INSURANCE ON STOCKS</t>
  </si>
  <si>
    <t>INSURANCE ON VEHICLES</t>
  </si>
  <si>
    <t>TESTING CHARGES</t>
  </si>
  <si>
    <t>FEES &amp; EXP TO FOREIGN TECHNFOR CAP PROJECTS</t>
  </si>
  <si>
    <t>ANNUAL INSP &amp; INSTT CHK FEE-CH.E.I.-GNGR</t>
  </si>
  <si>
    <t>TELEPHONES AND TRUNKCALLS</t>
  </si>
  <si>
    <t>POSTAGE AND TELEGRAMS</t>
  </si>
  <si>
    <t>COURIER CHARGES</t>
  </si>
  <si>
    <t>FAX CHARGES</t>
  </si>
  <si>
    <t>Mobile Phone Expenses</t>
  </si>
  <si>
    <t>Insurance on SKY Scheme</t>
  </si>
  <si>
    <t>Lease Rent</t>
  </si>
  <si>
    <t>Fees to auditors for other works</t>
  </si>
  <si>
    <t>LEGAL CHRGS</t>
  </si>
  <si>
    <t>AUDIT FEES</t>
  </si>
  <si>
    <t>CONSULTANCY FEES AND EXPENSES</t>
  </si>
  <si>
    <t>TECHNICAL FEES</t>
  </si>
  <si>
    <t>OTHER PROF FEES AND EXPENSES</t>
  </si>
  <si>
    <t>DOCUMENTATION AND DESIGN CHARGES</t>
  </si>
  <si>
    <t>HONORARIUM</t>
  </si>
  <si>
    <t>EXPENDITURE FOR PAPER SETTI-NG &amp; CHECKING</t>
  </si>
  <si>
    <t>Expense for use of hotel, Boarding and Lodging fac</t>
  </si>
  <si>
    <t>CONVEYANCE</t>
  </si>
  <si>
    <t>TRAVELLING EXPENSES</t>
  </si>
  <si>
    <t>TRAVELLING ALLOWANCE (T.A.)</t>
  </si>
  <si>
    <t>Vehicle Running Expenses-Petrol, Oil, Toll Tax, etc.(Other than for Trucks &amp; Delivery vans)</t>
  </si>
  <si>
    <t>VEHICLE HIRING CHARGES</t>
  </si>
  <si>
    <t>VEHICLES LICENCE AND REG FEES</t>
  </si>
  <si>
    <t>Consultancy Fees &amp; Expenses ? Ind AS</t>
  </si>
  <si>
    <t>DIRECTORS FEES</t>
  </si>
  <si>
    <t>OTHER FEES &amp; SUBSCRIPTIONS</t>
  </si>
  <si>
    <t>BOOKS AND PRDICALS</t>
  </si>
  <si>
    <t>PRINTING &amp; STATIONERY</t>
  </si>
  <si>
    <t>EXPENDITURE ON COMPUTER BILLING &amp; EDP CHAGS.</t>
  </si>
  <si>
    <t>ADVT EXP.(OTHER THAN PURCHASE RELATED)</t>
  </si>
  <si>
    <t>ZEROX COPY CHARGES</t>
  </si>
  <si>
    <t>CONTRI.S &amp; CHARITIES</t>
  </si>
  <si>
    <t>ELECTRICITY CHRGS</t>
  </si>
  <si>
    <t>WATER CHRGS</t>
  </si>
  <si>
    <t>ENTERTAINMENT</t>
  </si>
  <si>
    <t>EXP.ON CORPORATE SOCIAL RESPONSIBILITY (CSR)ACTIVI</t>
  </si>
  <si>
    <t>GUEST HOUSE EXPENSES</t>
  </si>
  <si>
    <t>UPKEEP OF OFFICE/BOARD-S PREMISES.</t>
  </si>
  <si>
    <t>EXPENSES FOR JYOTIGRAM SAMARPAN SAMAROH</t>
  </si>
  <si>
    <t>EXPENDITURE INCURRED ON CONSUMER BILLING &amp; COLL. C</t>
  </si>
  <si>
    <t>SECURITY MEARURES FOR SAFETY AND PROTECTION</t>
  </si>
  <si>
    <t>GARDENING &amp; HORTICULTURAL EXPENSES</t>
  </si>
  <si>
    <t>CONFERENCE/MEETING EXPENSES</t>
  </si>
  <si>
    <t>Bill Collection charges paid to various agencies</t>
  </si>
  <si>
    <t>Bill Collection charges paid to E-Gram Panchayat</t>
  </si>
  <si>
    <t>BILL COLL CHGS PAID TO EMPLYEES FOR COLL OF CONS B</t>
  </si>
  <si>
    <t>HOSPITALITY EXPENSES</t>
  </si>
  <si>
    <t>Vehicle Expenses for Motor ? Car.</t>
  </si>
  <si>
    <t>EXP.ON SPONSORSHIP OF SPORTS EVENT OR ANY OTHER EV</t>
  </si>
  <si>
    <t>Advertisement expenditure for Sales Promotion.</t>
  </si>
  <si>
    <t>Welfare expenditure incurred other than payment ma</t>
  </si>
  <si>
    <t>EXPENSES FOR GIFT TO EMPLOYEES</t>
  </si>
  <si>
    <t>Expenses for Lok Adalat.</t>
  </si>
  <si>
    <t>EXPENSES FOR CELEBRATION OFEVENTS/FESTIVAL/ETC</t>
  </si>
  <si>
    <t>MISCELLANEOUS EXPENSES</t>
  </si>
  <si>
    <t>Expenditure for COVID-19 Pandemic.</t>
  </si>
  <si>
    <t>Expenditure for Kisan Suryoday Yojna (KSY)</t>
  </si>
  <si>
    <t>LICENSE FEES TO GERC LICENSE FEES TO GUJARAT</t>
  </si>
  <si>
    <t>SLDC CHARGES</t>
  </si>
  <si>
    <t>MATERIALS-RELATED EXPENSES</t>
  </si>
  <si>
    <t>FREIGHT ON CAP. EQUIPMENT</t>
  </si>
  <si>
    <t>OTHER FREIGHT</t>
  </si>
  <si>
    <t>TRANSIT INSURANCE - CAPITAL EQUIP.</t>
  </si>
  <si>
    <t>EXP FR TRUCKS-DELVR VAN PETROL&amp;OIL</t>
  </si>
  <si>
    <t>ADVT.OF TENDERS ETC.</t>
  </si>
  <si>
    <t>INCIDENTAL STORES EXPENSES</t>
  </si>
  <si>
    <t>FABRICATION CHRGS</t>
  </si>
  <si>
    <t>FAB.CHGS ABSORBD IN COST OF FAB-CR</t>
  </si>
  <si>
    <t>GENERAL EXPENSES</t>
  </si>
  <si>
    <t>REV.STAMPS ON RECPTS ISUED BY BOARD</t>
  </si>
  <si>
    <t>EXPENDITURE ON TRAINING TO STAFF.</t>
  </si>
  <si>
    <t>DUMMY-14</t>
  </si>
  <si>
    <t>ADMIN &amp; GEN EXP-CAPITALISED CR</t>
  </si>
  <si>
    <t>DEP.&amp; OTHR ASETS-RELATED COSTS &amp; LOSES</t>
  </si>
  <si>
    <t>DEPRICIATION &amp; AMORTISATION</t>
  </si>
  <si>
    <t>AMORTISATION OF LEASEHOLD ASETS</t>
  </si>
  <si>
    <t>DEP ON BUILDINGS</t>
  </si>
  <si>
    <t>DEP ON HYDRAULIC WORKS</t>
  </si>
  <si>
    <t>DEP ON OTHER CIVIL WORKS</t>
  </si>
  <si>
    <t>DEP ON PLANT &amp; MACHINARY</t>
  </si>
  <si>
    <t>DEPRI.ON LINES CABLE NET-WORK ETC.</t>
  </si>
  <si>
    <t>DEP ON VEHICLES</t>
  </si>
  <si>
    <t>DEP.ON FURNITURE FIX ETC</t>
  </si>
  <si>
    <t>DEP ON OFFICE EQUIPMENT</t>
  </si>
  <si>
    <t>INT. AND OTHER FINANCE CHRGS</t>
  </si>
  <si>
    <t>INT. ON GOVT.LOANS</t>
  </si>
  <si>
    <t>INTEREST ON APDP LOAN</t>
  </si>
  <si>
    <t>INT.ON OTHER LOANS/DEFERED PAYMENT-CR.</t>
  </si>
  <si>
    <t>INT ON ADVANCE PAYMENT BY CONSUMERS</t>
  </si>
  <si>
    <t>INT.ON LOANS FROM POWER FINANCE CORPORATION.</t>
  </si>
  <si>
    <t>INT. ON CNSM-S S.DEPOSITS</t>
  </si>
  <si>
    <t>INT. ON CONSUMER-S SECURITYDEPOSITS</t>
  </si>
  <si>
    <t>INT ON BORROWINGS FOR WORKING CAPITAL</t>
  </si>
  <si>
    <t>INT ON BOROWNGS FR WORKING CAPITAL</t>
  </si>
  <si>
    <t>OTHER INT. AND FINANCE CHRGS</t>
  </si>
  <si>
    <t>INT ON SEC. DEPOSIT FR BILLCOLLECTION AGENCIES IN</t>
  </si>
  <si>
    <t>INT.ON STATUTORY LEVIES</t>
  </si>
  <si>
    <t>INT. ON FIXED DEPOSITS</t>
  </si>
  <si>
    <t>COMPENSATION FOR INTEREST</t>
  </si>
  <si>
    <t>INT. ON STAFF WELFARE FUND</t>
  </si>
  <si>
    <t>INT. ON STAFF RETR.&amp;DEATH BENFT SCHM</t>
  </si>
  <si>
    <t>COSTS OF RAISING FINANCE-STAMP DUTY</t>
  </si>
  <si>
    <t>BANK CHGS-REMITTANCE BETWEEN BRD OFFICES</t>
  </si>
  <si>
    <t>BANK COMMISSION- COLLECTION FROM CONSMR</t>
  </si>
  <si>
    <t>OTHER BANK CHARGS</t>
  </si>
  <si>
    <t>Other Bank Charges- Ind AS</t>
  </si>
  <si>
    <t>INT. &amp; OTH FIN CH CAPITALISED</t>
  </si>
  <si>
    <t>INT &amp; OTH FIN CH CAPITALISED</t>
  </si>
  <si>
    <t>OTHER DEBITS TO REVENUE ACCOUNT</t>
  </si>
  <si>
    <t>R &amp; D EXPENSE</t>
  </si>
  <si>
    <t>ENERGY CONSERVATION EXPENDITURE</t>
  </si>
  <si>
    <t>BAD&amp;DOUBTFUL DEBTS WRITEN OFF/PRVIDEDFR</t>
  </si>
  <si>
    <t>BAD DEBTS WRITTEN OFF-DUES FRM CONSMERS</t>
  </si>
  <si>
    <t>WAIVER OF THE PRINCIPAL DUES UNDER AMNE</t>
  </si>
  <si>
    <t>BAD&amp;DOUBTFUL DEBTS PRVIDED FR CNSMR DUE</t>
  </si>
  <si>
    <t>MISCELLANEOUS LOSSES &amp; WRITE-OFFS</t>
  </si>
  <si>
    <t>LOSS OF CASH WRITTEN OFF</t>
  </si>
  <si>
    <t>WAIVER OF DELAYED PAYMENT CHARGES (DPC) UNDER SP S</t>
  </si>
  <si>
    <t>WAIVER OF DELAYED PAYMENT CHARGES UNDER AMNESTY</t>
  </si>
  <si>
    <t>COMPENSATION FR INJURIES DEATHS-STAFF</t>
  </si>
  <si>
    <t>COMP FR INJ DEATH DAMAGE-OUTSIDERS</t>
  </si>
  <si>
    <t>PROV FR INCOME-TAX FR THE YEAR</t>
  </si>
  <si>
    <t>PROVISION FOR INCOME-TAX FOR THE YEAR</t>
  </si>
  <si>
    <t>PROVISION FOR MAT FOR THE YEAR</t>
  </si>
  <si>
    <t>P.-PRD EXPENSES AND LOSSES</t>
  </si>
  <si>
    <t>EMPLOYEE COSTS RELATING TO P. PRDS</t>
  </si>
  <si>
    <t>M.A/CS FR REC. NO OF UNITS-PWR SOLD ETC</t>
  </si>
  <si>
    <t>TOTAL UNITS</t>
  </si>
  <si>
    <t>UNITS PURCHASED CREDIT</t>
  </si>
  <si>
    <t>UNITS PURCHASED -WIND FARMS</t>
  </si>
  <si>
    <t>UNITS PURCHASED FROM RENEWABLE SOURCES</t>
  </si>
  <si>
    <t>Units Purchased from Roof Top Solar Consumers(By D</t>
  </si>
  <si>
    <t>Unit Purchased (SKY Scheme)</t>
  </si>
  <si>
    <t>UNITS PUR FR GUVNL</t>
  </si>
  <si>
    <t>UNITS BILLED DEBIT</t>
  </si>
  <si>
    <t>DOMESTIC OR RESIDENTIAL-UB</t>
  </si>
  <si>
    <t>COMMERCIAL-UB</t>
  </si>
  <si>
    <t>INDUSTRIAL-LOW &amp; MEDIUM VOLTAGE-UB</t>
  </si>
  <si>
    <t>INDUSTRIAL-HIGH VOLTAGE-UB</t>
  </si>
  <si>
    <t>PUBLIC LIGHTING-UB</t>
  </si>
  <si>
    <t>TRACTION-RAILWAYS-UB</t>
  </si>
  <si>
    <t>IRRIGATION-AGRICULTURAL-UB</t>
  </si>
  <si>
    <t>P/W/W &amp; SEWERAGE PUMPS-UB</t>
  </si>
  <si>
    <t>UNITS BILLED - PDC</t>
  </si>
  <si>
    <t>THEFT OF POWER BILLS.</t>
  </si>
  <si>
    <t>UNITS SOLD BUT NT BILLED DEBIT</t>
  </si>
  <si>
    <t>DOMESTIC OR RESIDENTIAL-USNB</t>
  </si>
  <si>
    <t>COMMERCIAL-USNB</t>
  </si>
  <si>
    <t>INDUSTRIAL LOW &amp; MEDIUM VOL-USNB</t>
  </si>
  <si>
    <t>INDUSTRIAL HIGH VOLT-USNB</t>
  </si>
  <si>
    <t>PUBLIC LIGHTING-USNB</t>
  </si>
  <si>
    <t>TRACTION-RAILWAYS-USNB</t>
  </si>
  <si>
    <t>IRRIGATION-AGRICULTURAL-USNB</t>
  </si>
  <si>
    <t>P/W/W &amp; SAWERAGE PUMPS-USNB</t>
  </si>
  <si>
    <t>SUPPLIES IN BULK TO OTHERS-USNB</t>
  </si>
  <si>
    <t>A/c Code</t>
  </si>
  <si>
    <t>Total Cumulative up to 4th QTR</t>
  </si>
  <si>
    <t>Total Cumulative up to 3rd QTR</t>
  </si>
  <si>
    <t>Diff</t>
  </si>
  <si>
    <t>Up to 3rd QTR</t>
  </si>
  <si>
    <t>Total Cumu up to 3rd QTR</t>
  </si>
  <si>
    <t>*Note : Previous Year Figure are restated</t>
  </si>
  <si>
    <t>Government Subsidy *</t>
  </si>
  <si>
    <t>Sale of Electricity</t>
  </si>
  <si>
    <t>Bad debts/Provision</t>
  </si>
  <si>
    <t>Name of Distribution Licensee:DGVCL</t>
  </si>
  <si>
    <t>GERC REGULATORY INFORMATION QUARTERLY REPORT</t>
  </si>
  <si>
    <t>V -   DISTRIBUTION - KEY DATA</t>
  </si>
  <si>
    <t>DGVCL</t>
  </si>
  <si>
    <t>Meter Testing And Details Of Non-Working Defective Meters</t>
  </si>
  <si>
    <t>Meter testing</t>
  </si>
  <si>
    <t>Total capacity of laboratory</t>
  </si>
  <si>
    <t>Tested during the period</t>
  </si>
  <si>
    <t>Pending for testing at the end of the period</t>
  </si>
  <si>
    <t>Single phase</t>
  </si>
  <si>
    <t>No.</t>
  </si>
  <si>
    <t>25 Nos testing benches</t>
  </si>
  <si>
    <t>Three phase</t>
  </si>
  <si>
    <t>19 Nos testing benches</t>
  </si>
  <si>
    <t>Total</t>
  </si>
  <si>
    <t>44 Nos testing benches</t>
  </si>
  <si>
    <t>Details of non-working defective meters</t>
  </si>
  <si>
    <t>Detected -op.balance</t>
  </si>
  <si>
    <t>Added</t>
  </si>
  <si>
    <t>Total to be attended</t>
  </si>
  <si>
    <t>Replaced / repaiared</t>
  </si>
  <si>
    <t>Pending at the end of the period</t>
  </si>
  <si>
    <t>Name of Distribution Licensee:</t>
  </si>
  <si>
    <t xml:space="preserve"> </t>
  </si>
  <si>
    <t>REGULATORY INFORMATION QUARTERLY REPORT</t>
  </si>
  <si>
    <t>V - DISTRIBUTION - KEY DATA</t>
  </si>
  <si>
    <t>Action plan for reducing T &amp; D losses in INDUSTRIAL  feeders</t>
  </si>
  <si>
    <t xml:space="preserve">Zonewise/Circlewise no.of feeders having losses more than 10 % ( IV Quarter 20-21) </t>
  </si>
  <si>
    <r>
      <t xml:space="preserve">Total No.of </t>
    </r>
    <r>
      <rPr>
        <sz val="11"/>
        <rFont val="Arial"/>
        <family val="2"/>
      </rPr>
      <t>feeders</t>
    </r>
  </si>
  <si>
    <t>Reason thereof and action being taken</t>
  </si>
  <si>
    <t>VALSAD</t>
  </si>
  <si>
    <t xml:space="preserve">Reason:  It is on increasing trend due to pandemic  covid-19 the consumption is reduced in Industrial category consumers  but Intensive checking  will be intensified.   </t>
  </si>
  <si>
    <t xml:space="preserve">SURAT </t>
  </si>
  <si>
    <t>BHARUCH</t>
  </si>
  <si>
    <t>SURAT CITY</t>
  </si>
  <si>
    <t>Action plan for reducing T &amp; D losses in GIDC feeders</t>
  </si>
  <si>
    <t>Action plan for reducing T &amp; D losses in Urban feeders</t>
  </si>
  <si>
    <t xml:space="preserve">Zonewise/Circlewise no.of feeders having losses more than 25 % ( IV Quarter 20-21) </t>
  </si>
  <si>
    <t>% loss during current period  ( IV Quarter 20-21)</t>
  </si>
  <si>
    <t xml:space="preserve">% loss during previous period  (IV Quarter 19-20) </t>
  </si>
  <si>
    <t xml:space="preserve">No. of feedres where losses increased in current period </t>
  </si>
  <si>
    <t xml:space="preserve">Reason:  It is on increasing trend due to covod-19 and the effect is continued  but Intensive checking  will be intensified.   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</si>
</sst>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* #,##0.00_);_(* \(#,##0.00\);_(* &quot;-&quot;??_);_(@_)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&quot;$&quot;#,##0.00;[Red]\-&quot;$&quot;#,##0.00"/>
    <numFmt numFmtId="173" formatCode="_-* #,##0.00\ &quot;€&quot;_-;\-* #,##0.00\ &quot;€&quot;_-;_-* &quot;-&quot;??\ &quot;€&quot;_-;_-@_-"/>
    <numFmt numFmtId="174" formatCode="_-* #,##0\ _F_-;\-* #,##0\ _F_-;_-* &quot;-&quot;\ _F_-;_-@_-"/>
    <numFmt numFmtId="175" formatCode="_-* #,##0.00\ _F_-;\-* #,##0.00\ _F_-;_-* &quot;-&quot;??\ _F_-;_-@_-"/>
    <numFmt numFmtId="176" formatCode="[Red]0%;[Red]\(0%\)"/>
    <numFmt numFmtId="177" formatCode="0%;\(0%\)"/>
    <numFmt numFmtId="178" formatCode="\ \ @"/>
    <numFmt numFmtId="179" formatCode="\ \ \ \ @"/>
    <numFmt numFmtId="180" formatCode="_ &quot;Fr.&quot;\ * #,##0_ ;_ &quot;Fr.&quot;\ * \-#,##0_ ;_ &quot;Fr.&quot;\ * &quot;-&quot;_ ;_ @_ "/>
    <numFmt numFmtId="181" formatCode="_ &quot;Fr.&quot;\ * #,##0.00_ ;_ &quot;Fr.&quot;\ * \-#,##0.00_ ;_ &quot;Fr.&quot;\ * &quot;-&quot;??_ ;_ @_ 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\&quot;#,##0.00;[Red]&quot;\&quot;\-#,##0.00"/>
    <numFmt numFmtId="185" formatCode="&quot;\&quot;#,##0;[Red]&quot;\&quot;\-#,##0"/>
    <numFmt numFmtId="186" formatCode="_(* #,##0_);_(* \(#,##0\);_(* &quot;-&quot;??_);_(@_)"/>
    <numFmt numFmtId="187" formatCode="0.00_);\(0.00\)"/>
  </numFmts>
  <fonts count="5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7"/>
      <name val="Helv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Century Gothic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Courier"/>
      <family val="3"/>
    </font>
    <font>
      <sz val="8"/>
      <name val="Arial Narrow"/>
      <family val="2"/>
    </font>
    <font>
      <sz val="10"/>
      <color indexed="10"/>
      <name val="Arial"/>
      <family val="2"/>
    </font>
    <font>
      <sz val="7"/>
      <color indexed="10"/>
      <name val="Helv"/>
    </font>
    <font>
      <b/>
      <sz val="18"/>
      <color indexed="62"/>
      <name val="Cambria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u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name val="Rupee Foradian"/>
      <family val="2"/>
    </font>
    <font>
      <sz val="12"/>
      <name val="Rupee Foradi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Tahoma"/>
      <family val="2"/>
    </font>
    <font>
      <sz val="16"/>
      <name val="Tahoma"/>
      <family val="2"/>
    </font>
    <font>
      <sz val="18"/>
      <name val="Tahoma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5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9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8" fillId="0" borderId="0"/>
    <xf numFmtId="164" fontId="9" fillId="0" borderId="1" applyAlignment="0" applyProtection="0"/>
    <xf numFmtId="0" fontId="7" fillId="0" borderId="0"/>
    <xf numFmtId="0" fontId="7" fillId="0" borderId="0"/>
    <xf numFmtId="166" fontId="10" fillId="0" borderId="0" applyFill="0" applyBorder="0" applyAlignment="0"/>
    <xf numFmtId="167" fontId="10" fillId="0" borderId="0" applyFill="0" applyBorder="0" applyAlignment="0"/>
    <xf numFmtId="168" fontId="10" fillId="0" borderId="0" applyFill="0" applyBorder="0" applyAlignment="0"/>
    <xf numFmtId="169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171" fontId="10" fillId="0" borderId="0" applyFill="0" applyBorder="0" applyAlignment="0"/>
    <xf numFmtId="167" fontId="10" fillId="0" borderId="0" applyFill="0" applyBorder="0" applyAlignment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10" fillId="0" borderId="0" applyFill="0" applyBorder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66" fontId="4" fillId="0" borderId="0" applyFill="0" applyBorder="0" applyAlignment="0"/>
    <xf numFmtId="167" fontId="4" fillId="0" borderId="0" applyFill="0" applyBorder="0" applyAlignment="0"/>
    <xf numFmtId="166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173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2" fillId="13" borderId="2" applyNumberFormat="0" applyFont="0" applyAlignment="0">
      <alignment horizontal="left"/>
    </xf>
    <xf numFmtId="38" fontId="13" fillId="14" borderId="0" applyNumberFormat="0" applyBorder="0" applyAlignment="0" applyProtection="0"/>
    <xf numFmtId="0" fontId="2" fillId="0" borderId="3" applyNumberFormat="0" applyAlignment="0" applyProtection="0">
      <alignment horizontal="left" vertical="center"/>
    </xf>
    <xf numFmtId="0" fontId="2" fillId="0" borderId="4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10" fontId="13" fillId="15" borderId="5" applyNumberFormat="0" applyBorder="0" applyAlignment="0" applyProtection="0"/>
    <xf numFmtId="166" fontId="14" fillId="0" borderId="0" applyFill="0" applyBorder="0" applyAlignment="0"/>
    <xf numFmtId="167" fontId="14" fillId="0" borderId="0" applyFill="0" applyBorder="0" applyAlignment="0"/>
    <xf numFmtId="166" fontId="14" fillId="0" borderId="0" applyFill="0" applyBorder="0" applyAlignment="0"/>
    <xf numFmtId="171" fontId="14" fillId="0" borderId="0" applyFill="0" applyBorder="0" applyAlignment="0"/>
    <xf numFmtId="167" fontId="14" fillId="0" borderId="0" applyFill="0" applyBorder="0" applyAlignment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5" fillId="0" borderId="0"/>
    <xf numFmtId="176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17" borderId="63" applyNumberFormat="0" applyFont="0" applyAlignment="0" applyProtection="0"/>
    <xf numFmtId="17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7" fillId="0" borderId="0" applyFill="0" applyBorder="0" applyAlignment="0"/>
    <xf numFmtId="167" fontId="17" fillId="0" borderId="0" applyFill="0" applyBorder="0" applyAlignment="0"/>
    <xf numFmtId="166" fontId="17" fillId="0" borderId="0" applyFill="0" applyBorder="0" applyAlignment="0"/>
    <xf numFmtId="171" fontId="17" fillId="0" borderId="0" applyFill="0" applyBorder="0" applyAlignment="0"/>
    <xf numFmtId="167" fontId="17" fillId="0" borderId="0" applyFill="0" applyBorder="0" applyAlignment="0"/>
    <xf numFmtId="3" fontId="18" fillId="0" borderId="0"/>
    <xf numFmtId="0" fontId="19" fillId="0" borderId="0" applyNumberFormat="0" applyFill="0" applyBorder="0" applyAlignment="0" applyProtection="0"/>
    <xf numFmtId="0" fontId="10" fillId="0" borderId="0">
      <alignment vertical="top"/>
    </xf>
    <xf numFmtId="49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12" fillId="16" borderId="6" applyFont="0" applyAlignment="0">
      <alignment horizontal="right" vertical="top" wrapText="1"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1" fillId="0" borderId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3" fillId="0" borderId="0"/>
    <xf numFmtId="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</cellStyleXfs>
  <cellXfs count="539">
    <xf numFmtId="0" fontId="0" fillId="0" borderId="0" xfId="0"/>
    <xf numFmtId="0" fontId="25" fillId="0" borderId="0" xfId="81" applyFont="1"/>
    <xf numFmtId="0" fontId="26" fillId="0" borderId="0" xfId="81" applyFont="1" applyAlignment="1">
      <alignment horizontal="center"/>
    </xf>
    <xf numFmtId="0" fontId="26" fillId="0" borderId="0" xfId="81" applyFont="1"/>
    <xf numFmtId="0" fontId="24" fillId="0" borderId="0" xfId="81" applyFont="1" applyAlignment="1">
      <alignment horizontal="center"/>
    </xf>
    <xf numFmtId="0" fontId="27" fillId="0" borderId="0" xfId="81" applyFont="1" applyAlignment="1">
      <alignment horizontal="center"/>
    </xf>
    <xf numFmtId="0" fontId="26" fillId="0" borderId="7" xfId="81" applyFont="1" applyBorder="1" applyAlignment="1">
      <alignment horizontal="center"/>
    </xf>
    <xf numFmtId="0" fontId="26" fillId="0" borderId="7" xfId="81" applyFont="1" applyBorder="1"/>
    <xf numFmtId="0" fontId="26" fillId="0" borderId="8" xfId="81" applyFont="1" applyBorder="1" applyAlignment="1">
      <alignment horizontal="center"/>
    </xf>
    <xf numFmtId="0" fontId="26" fillId="0" borderId="9" xfId="81" applyFont="1" applyBorder="1" applyAlignment="1">
      <alignment horizontal="center"/>
    </xf>
    <xf numFmtId="0" fontId="26" fillId="0" borderId="9" xfId="81" applyFont="1" applyBorder="1"/>
    <xf numFmtId="0" fontId="28" fillId="0" borderId="9" xfId="81" applyFont="1" applyBorder="1" applyAlignment="1">
      <alignment horizontal="center"/>
    </xf>
    <xf numFmtId="0" fontId="28" fillId="0" borderId="9" xfId="81" applyFont="1" applyBorder="1"/>
    <xf numFmtId="0" fontId="28" fillId="0" borderId="10" xfId="81" applyFont="1" applyBorder="1"/>
    <xf numFmtId="0" fontId="26" fillId="0" borderId="11" xfId="81" applyFont="1" applyBorder="1" applyAlignment="1">
      <alignment horizontal="center" wrapText="1"/>
    </xf>
    <xf numFmtId="0" fontId="25" fillId="0" borderId="7" xfId="81" applyFont="1" applyBorder="1" applyAlignment="1"/>
    <xf numFmtId="0" fontId="26" fillId="0" borderId="7" xfId="81" applyFont="1" applyBorder="1" applyAlignment="1">
      <alignment horizontal="center" wrapText="1"/>
    </xf>
    <xf numFmtId="0" fontId="26" fillId="0" borderId="12" xfId="81" applyFont="1" applyBorder="1" applyAlignment="1">
      <alignment horizontal="center" wrapText="1"/>
    </xf>
    <xf numFmtId="0" fontId="29" fillId="0" borderId="13" xfId="81" applyFont="1" applyBorder="1" applyAlignment="1">
      <alignment horizontal="center"/>
    </xf>
    <xf numFmtId="0" fontId="29" fillId="0" borderId="14" xfId="81" applyFont="1" applyBorder="1" applyAlignment="1">
      <alignment horizontal="center"/>
    </xf>
    <xf numFmtId="0" fontId="30" fillId="0" borderId="15" xfId="81" applyFont="1" applyBorder="1"/>
    <xf numFmtId="0" fontId="26" fillId="0" borderId="16" xfId="81" applyFont="1" applyBorder="1"/>
    <xf numFmtId="0" fontId="31" fillId="0" borderId="16" xfId="81" applyFont="1" applyBorder="1"/>
    <xf numFmtId="0" fontId="31" fillId="0" borderId="17" xfId="81" applyFont="1" applyBorder="1"/>
    <xf numFmtId="0" fontId="31" fillId="0" borderId="0" xfId="81" applyFont="1"/>
    <xf numFmtId="0" fontId="29" fillId="0" borderId="18" xfId="81" applyFont="1" applyBorder="1" applyAlignment="1">
      <alignment horizontal="center"/>
    </xf>
    <xf numFmtId="0" fontId="29" fillId="0" borderId="19" xfId="81" applyFont="1" applyBorder="1" applyAlignment="1">
      <alignment horizontal="center"/>
    </xf>
    <xf numFmtId="0" fontId="30" fillId="0" borderId="4" xfId="81" applyFont="1" applyBorder="1"/>
    <xf numFmtId="0" fontId="26" fillId="0" borderId="19" xfId="81" applyFont="1" applyBorder="1"/>
    <xf numFmtId="0" fontId="31" fillId="0" borderId="19" xfId="81" applyFont="1" applyBorder="1"/>
    <xf numFmtId="0" fontId="31" fillId="0" borderId="20" xfId="81" applyFont="1" applyBorder="1"/>
    <xf numFmtId="0" fontId="26" fillId="0" borderId="18" xfId="81" applyFont="1" applyBorder="1" applyAlignment="1">
      <alignment horizontal="center"/>
    </xf>
    <xf numFmtId="0" fontId="26" fillId="0" borderId="19" xfId="81" applyFont="1" applyBorder="1" applyAlignment="1">
      <alignment horizontal="center"/>
    </xf>
    <xf numFmtId="0" fontId="26" fillId="0" borderId="4" xfId="81" applyFont="1" applyBorder="1"/>
    <xf numFmtId="0" fontId="32" fillId="0" borderId="19" xfId="81" applyFont="1" applyFill="1" applyBorder="1" applyAlignment="1">
      <alignment horizontal="center"/>
    </xf>
    <xf numFmtId="0" fontId="32" fillId="0" borderId="19" xfId="81" applyFont="1" applyBorder="1" applyAlignment="1">
      <alignment horizontal="center"/>
    </xf>
    <xf numFmtId="1" fontId="32" fillId="0" borderId="19" xfId="81" applyNumberFormat="1" applyFont="1" applyFill="1" applyBorder="1" applyAlignment="1">
      <alignment horizontal="center"/>
    </xf>
    <xf numFmtId="10" fontId="32" fillId="0" borderId="19" xfId="106" applyNumberFormat="1" applyFont="1" applyBorder="1" applyAlignment="1">
      <alignment horizontal="center"/>
    </xf>
    <xf numFmtId="2" fontId="25" fillId="0" borderId="0" xfId="81" applyNumberFormat="1" applyFont="1"/>
    <xf numFmtId="0" fontId="26" fillId="0" borderId="4" xfId="81" applyFont="1" applyBorder="1" applyAlignment="1">
      <alignment wrapText="1"/>
    </xf>
    <xf numFmtId="2" fontId="32" fillId="0" borderId="19" xfId="81" applyNumberFormat="1" applyFont="1" applyBorder="1" applyAlignment="1">
      <alignment horizontal="center"/>
    </xf>
    <xf numFmtId="10" fontId="32" fillId="0" borderId="20" xfId="106" applyNumberFormat="1" applyFont="1" applyBorder="1" applyAlignment="1">
      <alignment horizontal="center"/>
    </xf>
    <xf numFmtId="0" fontId="30" fillId="0" borderId="4" xfId="81" applyFont="1" applyBorder="1" applyAlignment="1">
      <alignment wrapText="1"/>
    </xf>
    <xf numFmtId="0" fontId="32" fillId="0" borderId="20" xfId="81" applyFont="1" applyBorder="1" applyAlignment="1">
      <alignment horizontal="center"/>
    </xf>
    <xf numFmtId="0" fontId="32" fillId="0" borderId="0" xfId="81" applyFont="1"/>
    <xf numFmtId="0" fontId="29" fillId="0" borderId="4" xfId="81" applyFont="1" applyBorder="1" applyAlignment="1">
      <alignment wrapText="1"/>
    </xf>
    <xf numFmtId="2" fontId="32" fillId="0" borderId="19" xfId="81" applyNumberFormat="1" applyFont="1" applyFill="1" applyBorder="1" applyAlignment="1">
      <alignment horizontal="center"/>
    </xf>
    <xf numFmtId="0" fontId="32" fillId="0" borderId="4" xfId="81" applyFont="1" applyBorder="1" applyAlignment="1">
      <alignment wrapText="1"/>
    </xf>
    <xf numFmtId="2" fontId="26" fillId="0" borderId="19" xfId="81" applyNumberFormat="1" applyFont="1" applyFill="1" applyBorder="1" applyAlignment="1">
      <alignment horizontal="center"/>
    </xf>
    <xf numFmtId="0" fontId="29" fillId="0" borderId="21" xfId="81" applyFont="1" applyBorder="1" applyAlignment="1">
      <alignment horizontal="center"/>
    </xf>
    <xf numFmtId="0" fontId="26" fillId="0" borderId="22" xfId="81" applyFont="1" applyBorder="1" applyAlignment="1">
      <alignment horizontal="center"/>
    </xf>
    <xf numFmtId="0" fontId="26" fillId="0" borderId="23" xfId="81" applyFont="1" applyBorder="1" applyAlignment="1">
      <alignment wrapText="1"/>
    </xf>
    <xf numFmtId="10" fontId="31" fillId="0" borderId="22" xfId="106" applyNumberFormat="1" applyFont="1" applyFill="1" applyBorder="1" applyAlignment="1">
      <alignment horizontal="center"/>
    </xf>
    <xf numFmtId="0" fontId="24" fillId="0" borderId="24" xfId="81" applyFont="1" applyBorder="1" applyAlignment="1">
      <alignment horizontal="center"/>
    </xf>
    <xf numFmtId="0" fontId="24" fillId="0" borderId="25" xfId="81" applyFont="1" applyBorder="1" applyAlignment="1">
      <alignment horizontal="center"/>
    </xf>
    <xf numFmtId="0" fontId="26" fillId="0" borderId="25" xfId="81" applyFont="1" applyBorder="1" applyAlignment="1">
      <alignment horizontal="center"/>
    </xf>
    <xf numFmtId="0" fontId="27" fillId="0" borderId="25" xfId="81" applyFont="1" applyBorder="1" applyAlignment="1">
      <alignment horizontal="center"/>
    </xf>
    <xf numFmtId="0" fontId="27" fillId="0" borderId="26" xfId="81" applyFont="1" applyBorder="1" applyAlignment="1">
      <alignment horizontal="center"/>
    </xf>
    <xf numFmtId="0" fontId="26" fillId="0" borderId="27" xfId="81" applyFont="1" applyBorder="1" applyAlignment="1">
      <alignment horizontal="center"/>
    </xf>
    <xf numFmtId="0" fontId="26" fillId="0" borderId="5" xfId="81" applyFont="1" applyBorder="1" applyAlignment="1">
      <alignment horizontal="center"/>
    </xf>
    <xf numFmtId="0" fontId="26" fillId="0" borderId="5" xfId="81" applyFont="1" applyBorder="1"/>
    <xf numFmtId="0" fontId="26" fillId="0" borderId="28" xfId="81" applyFont="1" applyBorder="1" applyAlignment="1">
      <alignment horizontal="center"/>
    </xf>
    <xf numFmtId="0" fontId="26" fillId="0" borderId="29" xfId="81" applyFont="1" applyBorder="1" applyAlignment="1">
      <alignment horizontal="center"/>
    </xf>
    <xf numFmtId="0" fontId="26" fillId="0" borderId="29" xfId="81" applyFont="1" applyBorder="1"/>
    <xf numFmtId="0" fontId="26" fillId="0" borderId="11" xfId="81" applyFont="1" applyBorder="1" applyAlignment="1">
      <alignment horizontal="center"/>
    </xf>
    <xf numFmtId="0" fontId="25" fillId="0" borderId="3" xfId="81" applyFont="1" applyBorder="1" applyAlignment="1"/>
    <xf numFmtId="0" fontId="26" fillId="0" borderId="16" xfId="81" applyFont="1" applyBorder="1" applyAlignment="1">
      <alignment horizontal="center"/>
    </xf>
    <xf numFmtId="0" fontId="33" fillId="0" borderId="19" xfId="81" applyFont="1" applyBorder="1" applyAlignment="1">
      <alignment horizontal="center"/>
    </xf>
    <xf numFmtId="0" fontId="29" fillId="0" borderId="4" xfId="81" applyFont="1" applyBorder="1"/>
    <xf numFmtId="0" fontId="29" fillId="0" borderId="22" xfId="81" applyFont="1" applyBorder="1" applyAlignment="1">
      <alignment horizontal="center"/>
    </xf>
    <xf numFmtId="0" fontId="26" fillId="0" borderId="30" xfId="81" applyFont="1" applyBorder="1" applyAlignment="1">
      <alignment horizontal="center"/>
    </xf>
    <xf numFmtId="0" fontId="26" fillId="0" borderId="31" xfId="81" applyFont="1" applyBorder="1" applyAlignment="1">
      <alignment horizontal="center"/>
    </xf>
    <xf numFmtId="0" fontId="26" fillId="0" borderId="31" xfId="81" applyFont="1" applyBorder="1"/>
    <xf numFmtId="0" fontId="25" fillId="0" borderId="31" xfId="81" applyFont="1" applyBorder="1"/>
    <xf numFmtId="0" fontId="25" fillId="0" borderId="32" xfId="81" applyFont="1" applyBorder="1"/>
    <xf numFmtId="0" fontId="26" fillId="0" borderId="24" xfId="81" applyFont="1" applyBorder="1" applyAlignment="1">
      <alignment horizontal="center"/>
    </xf>
    <xf numFmtId="0" fontId="26" fillId="0" borderId="25" xfId="81" applyFont="1" applyBorder="1"/>
    <xf numFmtId="0" fontId="26" fillId="0" borderId="3" xfId="81" applyFont="1" applyBorder="1" applyAlignment="1">
      <alignment horizontal="center"/>
    </xf>
    <xf numFmtId="0" fontId="26" fillId="0" borderId="16" xfId="81" quotePrefix="1" applyFont="1" applyBorder="1" applyAlignment="1">
      <alignment horizontal="center"/>
    </xf>
    <xf numFmtId="0" fontId="26" fillId="0" borderId="15" xfId="81" applyFont="1" applyBorder="1" applyAlignment="1">
      <alignment horizontal="center"/>
    </xf>
    <xf numFmtId="0" fontId="26" fillId="0" borderId="4" xfId="81" applyFont="1" applyBorder="1" applyAlignment="1">
      <alignment horizontal="center"/>
    </xf>
    <xf numFmtId="10" fontId="32" fillId="0" borderId="22" xfId="106" applyNumberFormat="1" applyFont="1" applyBorder="1" applyAlignment="1">
      <alignment horizontal="center"/>
    </xf>
    <xf numFmtId="0" fontId="26" fillId="0" borderId="0" xfId="81" applyFont="1" applyBorder="1" applyAlignment="1">
      <alignment horizontal="center"/>
    </xf>
    <xf numFmtId="0" fontId="32" fillId="0" borderId="0" xfId="81" applyFont="1" applyBorder="1"/>
    <xf numFmtId="0" fontId="26" fillId="0" borderId="0" xfId="81" applyFont="1" applyBorder="1"/>
    <xf numFmtId="0" fontId="26" fillId="0" borderId="0" xfId="81" applyFont="1" applyBorder="1" applyAlignment="1">
      <alignment horizontal="left"/>
    </xf>
    <xf numFmtId="0" fontId="26" fillId="0" borderId="33" xfId="81" applyFont="1" applyBorder="1" applyAlignment="1">
      <alignment horizontal="center"/>
    </xf>
    <xf numFmtId="0" fontId="26" fillId="0" borderId="34" xfId="81" applyFont="1" applyBorder="1" applyAlignment="1">
      <alignment horizontal="left"/>
    </xf>
    <xf numFmtId="0" fontId="32" fillId="0" borderId="9" xfId="81" applyFont="1" applyBorder="1"/>
    <xf numFmtId="0" fontId="26" fillId="0" borderId="9" xfId="81" applyFont="1" applyBorder="1" applyAlignment="1">
      <alignment horizontal="left"/>
    </xf>
    <xf numFmtId="0" fontId="26" fillId="0" borderId="10" xfId="81" applyFont="1" applyBorder="1"/>
    <xf numFmtId="0" fontId="26" fillId="0" borderId="34" xfId="81" applyFont="1" applyBorder="1" applyAlignment="1">
      <alignment horizontal="left" vertical="center" wrapText="1"/>
    </xf>
    <xf numFmtId="0" fontId="26" fillId="0" borderId="35" xfId="81" applyFont="1" applyBorder="1" applyAlignment="1">
      <alignment horizontal="left"/>
    </xf>
    <xf numFmtId="0" fontId="26" fillId="0" borderId="36" xfId="81" applyFont="1" applyBorder="1" applyAlignment="1">
      <alignment horizontal="left"/>
    </xf>
    <xf numFmtId="0" fontId="26" fillId="0" borderId="14" xfId="81" applyFont="1" applyBorder="1" applyAlignment="1">
      <alignment horizontal="left"/>
    </xf>
    <xf numFmtId="0" fontId="32" fillId="0" borderId="14" xfId="81" applyFont="1" applyBorder="1" applyAlignment="1">
      <alignment horizontal="center"/>
    </xf>
    <xf numFmtId="0" fontId="32" fillId="0" borderId="37" xfId="81" applyFont="1" applyBorder="1" applyAlignment="1">
      <alignment horizontal="center"/>
    </xf>
    <xf numFmtId="0" fontId="32" fillId="0" borderId="5" xfId="81" applyFont="1" applyBorder="1"/>
    <xf numFmtId="2" fontId="32" fillId="0" borderId="38" xfId="81" applyNumberFormat="1" applyFont="1" applyBorder="1" applyAlignment="1">
      <alignment horizontal="left"/>
    </xf>
    <xf numFmtId="0" fontId="32" fillId="0" borderId="38" xfId="81" applyFont="1" applyBorder="1" applyAlignment="1">
      <alignment horizontal="left"/>
    </xf>
    <xf numFmtId="0" fontId="26" fillId="0" borderId="39" xfId="81" applyFont="1" applyBorder="1" applyAlignment="1">
      <alignment horizontal="center"/>
    </xf>
    <xf numFmtId="0" fontId="32" fillId="0" borderId="40" xfId="81" applyFont="1" applyFill="1" applyBorder="1"/>
    <xf numFmtId="0" fontId="26" fillId="0" borderId="40" xfId="81" applyFont="1" applyBorder="1"/>
    <xf numFmtId="0" fontId="26" fillId="0" borderId="41" xfId="81" applyFont="1" applyBorder="1" applyAlignment="1">
      <alignment horizontal="left"/>
    </xf>
    <xf numFmtId="2" fontId="26" fillId="0" borderId="22" xfId="81" applyNumberFormat="1" applyFont="1" applyBorder="1" applyAlignment="1">
      <alignment horizontal="center"/>
    </xf>
    <xf numFmtId="2" fontId="26" fillId="0" borderId="42" xfId="81" applyNumberFormat="1" applyFont="1" applyBorder="1" applyAlignment="1">
      <alignment horizontal="center"/>
    </xf>
    <xf numFmtId="0" fontId="32" fillId="0" borderId="43" xfId="81" applyFont="1" applyBorder="1" applyAlignment="1">
      <alignment horizontal="left"/>
    </xf>
    <xf numFmtId="0" fontId="32" fillId="0" borderId="44" xfId="81" applyFont="1" applyBorder="1" applyAlignment="1">
      <alignment horizontal="left"/>
    </xf>
    <xf numFmtId="0" fontId="32" fillId="0" borderId="45" xfId="81" applyFont="1" applyBorder="1" applyAlignment="1">
      <alignment horizontal="left"/>
    </xf>
    <xf numFmtId="0" fontId="32" fillId="0" borderId="44" xfId="81" applyFont="1" applyBorder="1" applyAlignment="1">
      <alignment horizontal="center"/>
    </xf>
    <xf numFmtId="0" fontId="32" fillId="0" borderId="45" xfId="81" applyFont="1" applyBorder="1" applyAlignment="1">
      <alignment horizontal="center"/>
    </xf>
    <xf numFmtId="0" fontId="32" fillId="0" borderId="25" xfId="81" applyFont="1" applyBorder="1"/>
    <xf numFmtId="0" fontId="26" fillId="0" borderId="25" xfId="81" applyFont="1" applyFill="1" applyBorder="1"/>
    <xf numFmtId="0" fontId="26" fillId="0" borderId="35" xfId="81" applyFont="1" applyFill="1" applyBorder="1" applyAlignment="1">
      <alignment horizontal="left"/>
    </xf>
    <xf numFmtId="0" fontId="26" fillId="0" borderId="14" xfId="81" applyFont="1" applyFill="1" applyBorder="1" applyAlignment="1">
      <alignment horizontal="left"/>
    </xf>
    <xf numFmtId="0" fontId="26" fillId="0" borderId="37" xfId="81" applyFont="1" applyFill="1" applyBorder="1" applyAlignment="1">
      <alignment horizontal="left"/>
    </xf>
    <xf numFmtId="0" fontId="26" fillId="0" borderId="38" xfId="81" applyFont="1" applyBorder="1" applyAlignment="1">
      <alignment horizontal="left"/>
    </xf>
    <xf numFmtId="0" fontId="26" fillId="0" borderId="19" xfId="81" applyFont="1" applyBorder="1" applyAlignment="1">
      <alignment horizontal="left"/>
    </xf>
    <xf numFmtId="0" fontId="26" fillId="0" borderId="20" xfId="81" applyFont="1" applyBorder="1" applyAlignment="1">
      <alignment horizontal="left"/>
    </xf>
    <xf numFmtId="2" fontId="26" fillId="0" borderId="20" xfId="81" applyNumberFormat="1" applyFont="1" applyFill="1" applyBorder="1" applyAlignment="1">
      <alignment horizontal="center"/>
    </xf>
    <xf numFmtId="0" fontId="32" fillId="0" borderId="5" xfId="81" applyFont="1" applyFill="1" applyBorder="1"/>
    <xf numFmtId="0" fontId="32" fillId="0" borderId="38" xfId="81" applyFont="1" applyFill="1" applyBorder="1" applyAlignment="1">
      <alignment horizontal="left"/>
    </xf>
    <xf numFmtId="0" fontId="32" fillId="0" borderId="5" xfId="81" applyFont="1" applyBorder="1" applyAlignment="1">
      <alignment vertical="center" wrapText="1"/>
    </xf>
    <xf numFmtId="0" fontId="26" fillId="0" borderId="38" xfId="81" applyFont="1" applyBorder="1" applyAlignment="1">
      <alignment horizontal="left" vertical="center" wrapText="1"/>
    </xf>
    <xf numFmtId="0" fontId="32" fillId="0" borderId="40" xfId="81" applyFont="1" applyBorder="1"/>
    <xf numFmtId="10" fontId="26" fillId="0" borderId="22" xfId="106" applyNumberFormat="1" applyFont="1" applyBorder="1" applyAlignment="1">
      <alignment horizontal="center"/>
    </xf>
    <xf numFmtId="10" fontId="26" fillId="0" borderId="42" xfId="106" applyNumberFormat="1" applyFont="1" applyBorder="1" applyAlignment="1">
      <alignment horizontal="center"/>
    </xf>
    <xf numFmtId="0" fontId="26" fillId="0" borderId="46" xfId="81" applyFont="1" applyBorder="1" applyAlignment="1">
      <alignment horizontal="center"/>
    </xf>
    <xf numFmtId="0" fontId="32" fillId="0" borderId="47" xfId="81" applyFont="1" applyBorder="1"/>
    <xf numFmtId="0" fontId="26" fillId="0" borderId="48" xfId="81" applyFont="1" applyBorder="1" applyAlignment="1">
      <alignment horizontal="left"/>
    </xf>
    <xf numFmtId="0" fontId="26" fillId="0" borderId="13" xfId="81" applyFont="1" applyBorder="1" applyAlignment="1">
      <alignment horizontal="left"/>
    </xf>
    <xf numFmtId="0" fontId="26" fillId="0" borderId="49" xfId="81" applyFont="1" applyBorder="1" applyAlignment="1">
      <alignment horizontal="left"/>
    </xf>
    <xf numFmtId="0" fontId="32" fillId="0" borderId="16" xfId="81" applyFont="1" applyBorder="1" applyAlignment="1">
      <alignment horizontal="center"/>
    </xf>
    <xf numFmtId="10" fontId="32" fillId="0" borderId="16" xfId="106" applyNumberFormat="1" applyFont="1" applyBorder="1" applyAlignment="1">
      <alignment horizontal="center"/>
    </xf>
    <xf numFmtId="2" fontId="32" fillId="0" borderId="17" xfId="81" applyNumberFormat="1" applyFont="1" applyBorder="1" applyAlignment="1">
      <alignment horizontal="center"/>
    </xf>
    <xf numFmtId="0" fontId="26" fillId="0" borderId="27" xfId="81" applyFont="1" applyBorder="1" applyAlignment="1">
      <alignment horizontal="center" vertical="top"/>
    </xf>
    <xf numFmtId="0" fontId="32" fillId="0" borderId="5" xfId="81" applyFont="1" applyBorder="1" applyAlignment="1">
      <alignment wrapText="1"/>
    </xf>
    <xf numFmtId="0" fontId="26" fillId="0" borderId="38" xfId="81" applyFont="1" applyBorder="1" applyAlignment="1">
      <alignment horizontal="left" wrapText="1"/>
    </xf>
    <xf numFmtId="10" fontId="32" fillId="0" borderId="42" xfId="106" applyNumberFormat="1" applyFont="1" applyBorder="1" applyAlignment="1">
      <alignment horizontal="center"/>
    </xf>
    <xf numFmtId="0" fontId="26" fillId="0" borderId="15" xfId="81" applyFont="1" applyBorder="1" applyAlignment="1">
      <alignment horizontal="left"/>
    </xf>
    <xf numFmtId="2" fontId="32" fillId="0" borderId="16" xfId="81" applyNumberFormat="1" applyFont="1" applyBorder="1" applyAlignment="1">
      <alignment horizontal="center"/>
    </xf>
    <xf numFmtId="0" fontId="32" fillId="0" borderId="22" xfId="81" applyFont="1" applyBorder="1" applyAlignment="1">
      <alignment horizontal="center"/>
    </xf>
    <xf numFmtId="0" fontId="32" fillId="0" borderId="42" xfId="81" applyFont="1" applyBorder="1" applyAlignment="1">
      <alignment horizontal="center"/>
    </xf>
    <xf numFmtId="2" fontId="26" fillId="0" borderId="0" xfId="81" applyNumberFormat="1" applyFont="1" applyBorder="1" applyAlignment="1">
      <alignment horizontal="left"/>
    </xf>
    <xf numFmtId="2" fontId="26" fillId="18" borderId="19" xfId="81" applyNumberFormat="1" applyFont="1" applyFill="1" applyBorder="1" applyAlignment="1">
      <alignment horizontal="center"/>
    </xf>
    <xf numFmtId="0" fontId="32" fillId="0" borderId="4" xfId="81" applyFont="1" applyBorder="1"/>
    <xf numFmtId="0" fontId="32" fillId="0" borderId="16" xfId="81" applyFont="1" applyBorder="1"/>
    <xf numFmtId="0" fontId="32" fillId="0" borderId="19" xfId="81" applyFont="1" applyBorder="1"/>
    <xf numFmtId="0" fontId="32" fillId="0" borderId="19" xfId="81" applyFont="1" applyBorder="1" applyAlignment="1">
      <alignment vertical="center" wrapText="1"/>
    </xf>
    <xf numFmtId="0" fontId="32" fillId="0" borderId="19" xfId="81" applyFont="1" applyBorder="1" applyAlignment="1">
      <alignment wrapText="1"/>
    </xf>
    <xf numFmtId="10" fontId="26" fillId="18" borderId="19" xfId="106" applyNumberFormat="1" applyFont="1" applyFill="1" applyBorder="1" applyAlignment="1">
      <alignment horizontal="center"/>
    </xf>
    <xf numFmtId="0" fontId="34" fillId="0" borderId="19" xfId="81" applyFont="1" applyBorder="1" applyAlignment="1">
      <alignment horizontal="center"/>
    </xf>
    <xf numFmtId="0" fontId="29" fillId="18" borderId="19" xfId="81" applyFont="1" applyFill="1" applyBorder="1" applyAlignment="1">
      <alignment horizontal="center"/>
    </xf>
    <xf numFmtId="0" fontId="30" fillId="18" borderId="4" xfId="81" applyFont="1" applyFill="1" applyBorder="1"/>
    <xf numFmtId="0" fontId="33" fillId="18" borderId="19" xfId="81" applyFont="1" applyFill="1" applyBorder="1" applyAlignment="1">
      <alignment horizontal="center"/>
    </xf>
    <xf numFmtId="0" fontId="29" fillId="18" borderId="22" xfId="81" applyFont="1" applyFill="1" applyBorder="1" applyAlignment="1">
      <alignment horizontal="center"/>
    </xf>
    <xf numFmtId="0" fontId="29" fillId="18" borderId="23" xfId="81" applyFont="1" applyFill="1" applyBorder="1"/>
    <xf numFmtId="2" fontId="26" fillId="18" borderId="22" xfId="81" applyNumberFormat="1" applyFont="1" applyFill="1" applyBorder="1" applyAlignment="1">
      <alignment horizontal="center"/>
    </xf>
    <xf numFmtId="2" fontId="32" fillId="0" borderId="16" xfId="81" applyNumberFormat="1" applyFont="1" applyFill="1" applyBorder="1" applyAlignment="1">
      <alignment horizontal="center"/>
    </xf>
    <xf numFmtId="2" fontId="32" fillId="0" borderId="20" xfId="81" applyNumberFormat="1" applyFont="1" applyFill="1" applyBorder="1" applyAlignment="1">
      <alignment horizontal="center"/>
    </xf>
    <xf numFmtId="0" fontId="26" fillId="0" borderId="19" xfId="81" applyFont="1" applyFill="1" applyBorder="1" applyAlignment="1">
      <alignment horizontal="center"/>
    </xf>
    <xf numFmtId="2" fontId="26" fillId="0" borderId="22" xfId="81" applyNumberFormat="1" applyFont="1" applyFill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2" fillId="0" borderId="34" xfId="81" applyFont="1" applyBorder="1"/>
    <xf numFmtId="0" fontId="32" fillId="0" borderId="43" xfId="81" applyFont="1" applyBorder="1"/>
    <xf numFmtId="0" fontId="26" fillId="0" borderId="35" xfId="81" applyFont="1" applyBorder="1"/>
    <xf numFmtId="0" fontId="32" fillId="0" borderId="38" xfId="81" applyFont="1" applyBorder="1"/>
    <xf numFmtId="0" fontId="32" fillId="0" borderId="41" xfId="81" applyFont="1" applyFill="1" applyBorder="1"/>
    <xf numFmtId="0" fontId="26" fillId="0" borderId="33" xfId="81" applyFont="1" applyBorder="1"/>
    <xf numFmtId="0" fontId="26" fillId="0" borderId="8" xfId="81" applyFont="1" applyBorder="1"/>
    <xf numFmtId="0" fontId="32" fillId="0" borderId="33" xfId="81" applyFont="1" applyBorder="1" applyAlignment="1"/>
    <xf numFmtId="0" fontId="26" fillId="0" borderId="24" xfId="81" applyFont="1" applyBorder="1"/>
    <xf numFmtId="0" fontId="32" fillId="0" borderId="27" xfId="81" applyFont="1" applyBorder="1"/>
    <xf numFmtId="0" fontId="26" fillId="0" borderId="39" xfId="81" applyFont="1" applyBorder="1"/>
    <xf numFmtId="2" fontId="26" fillId="0" borderId="7" xfId="81" applyNumberFormat="1" applyFont="1" applyBorder="1" applyAlignment="1">
      <alignment horizontal="center" wrapText="1"/>
    </xf>
    <xf numFmtId="2" fontId="32" fillId="0" borderId="22" xfId="81" applyNumberFormat="1" applyFont="1" applyBorder="1" applyAlignment="1">
      <alignment horizontal="center" vertical="top"/>
    </xf>
    <xf numFmtId="2" fontId="26" fillId="0" borderId="0" xfId="81" applyNumberFormat="1" applyFont="1"/>
    <xf numFmtId="2" fontId="32" fillId="0" borderId="5" xfId="81" applyNumberFormat="1" applyFont="1" applyFill="1" applyBorder="1" applyAlignment="1">
      <alignment horizontal="center"/>
    </xf>
    <xf numFmtId="0" fontId="32" fillId="0" borderId="20" xfId="81" applyFont="1" applyFill="1" applyBorder="1" applyAlignment="1">
      <alignment horizontal="center"/>
    </xf>
    <xf numFmtId="2" fontId="31" fillId="0" borderId="0" xfId="81" applyNumberFormat="1" applyFont="1"/>
    <xf numFmtId="10" fontId="32" fillId="0" borderId="19" xfId="106" applyNumberFormat="1" applyFont="1" applyFill="1" applyBorder="1" applyAlignment="1">
      <alignment horizontal="center"/>
    </xf>
    <xf numFmtId="10" fontId="32" fillId="0" borderId="20" xfId="106" applyNumberFormat="1" applyFont="1" applyFill="1" applyBorder="1" applyAlignment="1">
      <alignment horizontal="center"/>
    </xf>
    <xf numFmtId="0" fontId="26" fillId="0" borderId="22" xfId="81" applyFont="1" applyFill="1" applyBorder="1" applyAlignment="1">
      <alignment horizontal="center"/>
    </xf>
    <xf numFmtId="9" fontId="31" fillId="0" borderId="42" xfId="106" applyFont="1" applyFill="1" applyBorder="1" applyAlignment="1">
      <alignment horizontal="center"/>
    </xf>
    <xf numFmtId="0" fontId="26" fillId="0" borderId="4" xfId="81" applyFont="1" applyFill="1" applyBorder="1" applyAlignment="1">
      <alignment horizontal="center"/>
    </xf>
    <xf numFmtId="0" fontId="26" fillId="0" borderId="19" xfId="81" applyFont="1" applyFill="1" applyBorder="1"/>
    <xf numFmtId="0" fontId="26" fillId="0" borderId="23" xfId="81" applyFont="1" applyFill="1" applyBorder="1" applyAlignment="1">
      <alignment horizontal="center"/>
    </xf>
    <xf numFmtId="0" fontId="26" fillId="0" borderId="22" xfId="81" applyFont="1" applyFill="1" applyBorder="1" applyAlignment="1">
      <alignment wrapText="1"/>
    </xf>
    <xf numFmtId="0" fontId="26" fillId="0" borderId="22" xfId="81" applyFont="1" applyFill="1" applyBorder="1" applyAlignment="1">
      <alignment horizontal="center" vertical="center"/>
    </xf>
    <xf numFmtId="10" fontId="32" fillId="0" borderId="22" xfId="106" applyNumberFormat="1" applyFont="1" applyFill="1" applyBorder="1" applyAlignment="1">
      <alignment horizontal="center"/>
    </xf>
    <xf numFmtId="2" fontId="26" fillId="0" borderId="16" xfId="81" applyNumberFormat="1" applyFont="1" applyFill="1" applyBorder="1" applyAlignment="1">
      <alignment horizontal="center"/>
    </xf>
    <xf numFmtId="10" fontId="26" fillId="0" borderId="19" xfId="106" applyNumberFormat="1" applyFont="1" applyFill="1" applyBorder="1" applyAlignment="1">
      <alignment horizontal="center"/>
    </xf>
    <xf numFmtId="0" fontId="25" fillId="0" borderId="0" xfId="81" applyFont="1" applyFill="1"/>
    <xf numFmtId="0" fontId="26" fillId="0" borderId="11" xfId="81" applyFont="1" applyBorder="1" applyAlignment="1">
      <alignment horizontal="center" vertical="center" wrapText="1"/>
    </xf>
    <xf numFmtId="0" fontId="26" fillId="0" borderId="7" xfId="81" applyFont="1" applyBorder="1" applyAlignment="1">
      <alignment horizontal="center" vertical="center"/>
    </xf>
    <xf numFmtId="0" fontId="25" fillId="0" borderId="7" xfId="81" applyFont="1" applyBorder="1" applyAlignment="1">
      <alignment vertical="center"/>
    </xf>
    <xf numFmtId="0" fontId="26" fillId="0" borderId="7" xfId="81" applyFont="1" applyBorder="1" applyAlignment="1">
      <alignment vertical="center"/>
    </xf>
    <xf numFmtId="0" fontId="26" fillId="0" borderId="7" xfId="81" applyFont="1" applyBorder="1" applyAlignment="1">
      <alignment horizontal="center" vertical="center" wrapText="1"/>
    </xf>
    <xf numFmtId="0" fontId="26" fillId="0" borderId="7" xfId="82" applyFont="1" applyBorder="1" applyAlignment="1">
      <alignment horizontal="center" vertical="center" wrapText="1"/>
    </xf>
    <xf numFmtId="0" fontId="26" fillId="0" borderId="12" xfId="82" applyFont="1" applyBorder="1" applyAlignment="1">
      <alignment horizontal="center" vertical="center" wrapText="1"/>
    </xf>
    <xf numFmtId="0" fontId="25" fillId="0" borderId="0" xfId="81" applyFont="1" applyAlignment="1">
      <alignment vertical="center"/>
    </xf>
    <xf numFmtId="2" fontId="25" fillId="0" borderId="0" xfId="81" applyNumberFormat="1" applyFont="1" applyFill="1"/>
    <xf numFmtId="0" fontId="25" fillId="0" borderId="0" xfId="0" applyFont="1" applyFill="1"/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9" xfId="0" applyFont="1" applyFill="1" applyBorder="1"/>
    <xf numFmtId="0" fontId="28" fillId="0" borderId="10" xfId="0" applyFont="1" applyFill="1" applyBorder="1"/>
    <xf numFmtId="0" fontId="28" fillId="0" borderId="33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6" fillId="0" borderId="55" xfId="92" applyFont="1" applyFill="1" applyBorder="1" applyAlignment="1">
      <alignment horizontal="center" vertical="center" wrapText="1"/>
    </xf>
    <xf numFmtId="0" fontId="26" fillId="0" borderId="60" xfId="92" applyFont="1" applyFill="1" applyBorder="1" applyAlignment="1">
      <alignment horizontal="center" vertical="center" wrapText="1"/>
    </xf>
    <xf numFmtId="0" fontId="31" fillId="0" borderId="24" xfId="0" applyFont="1" applyFill="1" applyBorder="1"/>
    <xf numFmtId="0" fontId="31" fillId="0" borderId="26" xfId="0" applyFont="1" applyFill="1" applyBorder="1"/>
    <xf numFmtId="1" fontId="32" fillId="0" borderId="57" xfId="0" applyNumberFormat="1" applyFont="1" applyFill="1" applyBorder="1"/>
    <xf numFmtId="1" fontId="32" fillId="0" borderId="39" xfId="0" applyNumberFormat="1" applyFont="1" applyFill="1" applyBorder="1"/>
    <xf numFmtId="2" fontId="32" fillId="0" borderId="39" xfId="0" applyNumberFormat="1" applyFont="1" applyFill="1" applyBorder="1"/>
    <xf numFmtId="2" fontId="32" fillId="0" borderId="57" xfId="0" applyNumberFormat="1" applyFont="1" applyFill="1" applyBorder="1"/>
    <xf numFmtId="0" fontId="25" fillId="0" borderId="52" xfId="0" applyFont="1" applyFill="1" applyBorder="1"/>
    <xf numFmtId="0" fontId="25" fillId="0" borderId="9" xfId="0" applyFont="1" applyFill="1" applyBorder="1"/>
    <xf numFmtId="2" fontId="25" fillId="0" borderId="9" xfId="0" applyNumberFormat="1" applyFont="1" applyFill="1" applyBorder="1"/>
    <xf numFmtId="0" fontId="25" fillId="0" borderId="10" xfId="0" applyFont="1" applyFill="1" applyBorder="1"/>
    <xf numFmtId="0" fontId="40" fillId="0" borderId="9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2" fontId="31" fillId="0" borderId="24" xfId="0" applyNumberFormat="1" applyFont="1" applyFill="1" applyBorder="1"/>
    <xf numFmtId="2" fontId="31" fillId="0" borderId="26" xfId="0" applyNumberFormat="1" applyFont="1" applyFill="1" applyBorder="1"/>
    <xf numFmtId="2" fontId="25" fillId="0" borderId="0" xfId="0" applyNumberFormat="1" applyFont="1" applyFill="1" applyBorder="1"/>
    <xf numFmtId="0" fontId="25" fillId="0" borderId="0" xfId="0" applyFont="1" applyFill="1" applyBorder="1"/>
    <xf numFmtId="0" fontId="25" fillId="0" borderId="9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wrapText="1"/>
    </xf>
    <xf numFmtId="0" fontId="28" fillId="0" borderId="60" xfId="0" applyFont="1" applyFill="1" applyBorder="1" applyAlignment="1">
      <alignment horizontal="center" wrapText="1"/>
    </xf>
    <xf numFmtId="0" fontId="28" fillId="0" borderId="55" xfId="0" applyFont="1" applyFill="1" applyBorder="1" applyAlignment="1">
      <alignment horizontal="center" wrapText="1"/>
    </xf>
    <xf numFmtId="1" fontId="32" fillId="0" borderId="9" xfId="0" applyNumberFormat="1" applyFont="1" applyFill="1" applyBorder="1"/>
    <xf numFmtId="0" fontId="32" fillId="0" borderId="9" xfId="0" applyFont="1" applyFill="1" applyBorder="1"/>
    <xf numFmtId="2" fontId="32" fillId="0" borderId="9" xfId="0" applyNumberFormat="1" applyFont="1" applyFill="1" applyBorder="1"/>
    <xf numFmtId="0" fontId="32" fillId="0" borderId="54" xfId="0" applyFont="1" applyFill="1" applyBorder="1"/>
    <xf numFmtId="0" fontId="32" fillId="0" borderId="60" xfId="0" applyFont="1" applyFill="1" applyBorder="1"/>
    <xf numFmtId="0" fontId="32" fillId="0" borderId="24" xfId="0" applyFont="1" applyFill="1" applyBorder="1"/>
    <xf numFmtId="0" fontId="32" fillId="0" borderId="26" xfId="0" applyFont="1" applyFill="1" applyBorder="1"/>
    <xf numFmtId="1" fontId="32" fillId="0" borderId="27" xfId="0" applyNumberFormat="1" applyFont="1" applyFill="1" applyBorder="1"/>
    <xf numFmtId="1" fontId="32" fillId="0" borderId="50" xfId="0" applyNumberFormat="1" applyFont="1" applyFill="1" applyBorder="1"/>
    <xf numFmtId="2" fontId="32" fillId="0" borderId="27" xfId="0" applyNumberFormat="1" applyFont="1" applyFill="1" applyBorder="1"/>
    <xf numFmtId="2" fontId="32" fillId="0" borderId="50" xfId="0" applyNumberFormat="1" applyFont="1" applyFill="1" applyBorder="1"/>
    <xf numFmtId="1" fontId="26" fillId="0" borderId="27" xfId="0" applyNumberFormat="1" applyFont="1" applyFill="1" applyBorder="1"/>
    <xf numFmtId="1" fontId="26" fillId="0" borderId="39" xfId="0" applyNumberFormat="1" applyFont="1" applyFill="1" applyBorder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4" fillId="0" borderId="0" xfId="0" applyFont="1" applyFill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7" xfId="0" applyFont="1" applyFill="1" applyBorder="1"/>
    <xf numFmtId="0" fontId="26" fillId="0" borderId="3" xfId="0" applyFont="1" applyFill="1" applyBorder="1"/>
    <xf numFmtId="0" fontId="26" fillId="0" borderId="51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14" xfId="0" applyFont="1" applyFill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30" fillId="0" borderId="14" xfId="0" applyFont="1" applyFill="1" applyBorder="1"/>
    <xf numFmtId="0" fontId="31" fillId="0" borderId="0" xfId="0" applyFont="1" applyFill="1"/>
    <xf numFmtId="0" fontId="26" fillId="0" borderId="19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2" fillId="0" borderId="19" xfId="0" applyFont="1" applyFill="1" applyBorder="1"/>
    <xf numFmtId="1" fontId="32" fillId="0" borderId="18" xfId="0" applyNumberFormat="1" applyFont="1" applyFill="1" applyBorder="1"/>
    <xf numFmtId="0" fontId="32" fillId="0" borderId="27" xfId="0" applyFont="1" applyFill="1" applyBorder="1"/>
    <xf numFmtId="0" fontId="32" fillId="0" borderId="50" xfId="0" applyFont="1" applyFill="1" applyBorder="1"/>
    <xf numFmtId="0" fontId="26" fillId="0" borderId="19" xfId="0" applyFont="1" applyFill="1" applyBorder="1"/>
    <xf numFmtId="1" fontId="32" fillId="0" borderId="5" xfId="0" applyNumberFormat="1" applyFont="1" applyFill="1" applyBorder="1"/>
    <xf numFmtId="1" fontId="32" fillId="0" borderId="56" xfId="0" applyNumberFormat="1" applyFont="1" applyFill="1" applyBorder="1"/>
    <xf numFmtId="1" fontId="26" fillId="0" borderId="5" xfId="0" applyNumberFormat="1" applyFont="1" applyFill="1" applyBorder="1"/>
    <xf numFmtId="1" fontId="26" fillId="0" borderId="56" xfId="0" applyNumberFormat="1" applyFont="1" applyFill="1" applyBorder="1"/>
    <xf numFmtId="1" fontId="26" fillId="0" borderId="50" xfId="0" applyNumberFormat="1" applyFont="1" applyFill="1" applyBorder="1"/>
    <xf numFmtId="0" fontId="29" fillId="0" borderId="22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22" xfId="0" applyFont="1" applyFill="1" applyBorder="1"/>
    <xf numFmtId="0" fontId="26" fillId="0" borderId="51" xfId="0" applyFont="1" applyFill="1" applyBorder="1"/>
    <xf numFmtId="0" fontId="28" fillId="0" borderId="19" xfId="0" applyFont="1" applyFill="1" applyBorder="1"/>
    <xf numFmtId="1" fontId="25" fillId="0" borderId="0" xfId="0" applyNumberFormat="1" applyFont="1" applyFill="1"/>
    <xf numFmtId="2" fontId="26" fillId="0" borderId="27" xfId="0" applyNumberFormat="1" applyFont="1" applyFill="1" applyBorder="1"/>
    <xf numFmtId="2" fontId="26" fillId="0" borderId="50" xfId="0" applyNumberFormat="1" applyFont="1" applyFill="1" applyBorder="1"/>
    <xf numFmtId="2" fontId="32" fillId="0" borderId="18" xfId="0" applyNumberFormat="1" applyFont="1" applyFill="1" applyBorder="1"/>
    <xf numFmtId="2" fontId="25" fillId="0" borderId="0" xfId="0" applyNumberFormat="1" applyFont="1" applyFill="1"/>
    <xf numFmtId="0" fontId="29" fillId="0" borderId="23" xfId="0" applyFont="1" applyFill="1" applyBorder="1" applyAlignment="1">
      <alignment horizontal="center"/>
    </xf>
    <xf numFmtId="0" fontId="28" fillId="0" borderId="22" xfId="0" applyFont="1" applyFill="1" applyBorder="1"/>
    <xf numFmtId="1" fontId="26" fillId="0" borderId="57" xfId="0" applyNumberFormat="1" applyFont="1" applyFill="1" applyBorder="1"/>
    <xf numFmtId="1" fontId="31" fillId="0" borderId="0" xfId="0" applyNumberFormat="1" applyFont="1" applyFill="1"/>
    <xf numFmtId="0" fontId="26" fillId="0" borderId="9" xfId="0" applyFont="1" applyFill="1" applyBorder="1" applyAlignment="1">
      <alignment horizontal="center"/>
    </xf>
    <xf numFmtId="0" fontId="26" fillId="0" borderId="9" xfId="0" applyFont="1" applyFill="1" applyBorder="1"/>
    <xf numFmtId="0" fontId="24" fillId="0" borderId="9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5" fillId="0" borderId="7" xfId="0" applyFont="1" applyFill="1" applyBorder="1" applyAlignment="1"/>
    <xf numFmtId="0" fontId="28" fillId="0" borderId="7" xfId="0" applyFont="1" applyFill="1" applyBorder="1"/>
    <xf numFmtId="0" fontId="29" fillId="0" borderId="15" xfId="0" applyFont="1" applyFill="1" applyBorder="1" applyAlignment="1">
      <alignment horizontal="center"/>
    </xf>
    <xf numFmtId="0" fontId="28" fillId="0" borderId="14" xfId="0" applyFont="1" applyFill="1" applyBorder="1"/>
    <xf numFmtId="0" fontId="26" fillId="0" borderId="22" xfId="0" applyFont="1" applyFill="1" applyBorder="1" applyAlignment="1">
      <alignment horizontal="center"/>
    </xf>
    <xf numFmtId="2" fontId="26" fillId="0" borderId="39" xfId="0" applyNumberFormat="1" applyFont="1" applyFill="1" applyBorder="1"/>
    <xf numFmtId="2" fontId="26" fillId="0" borderId="57" xfId="0" applyNumberFormat="1" applyFont="1" applyFill="1" applyBorder="1"/>
    <xf numFmtId="0" fontId="26" fillId="0" borderId="29" xfId="0" applyFont="1" applyFill="1" applyBorder="1" applyAlignment="1">
      <alignment horizontal="center"/>
    </xf>
    <xf numFmtId="0" fontId="29" fillId="0" borderId="9" xfId="0" applyFont="1" applyFill="1" applyBorder="1"/>
    <xf numFmtId="0" fontId="26" fillId="0" borderId="23" xfId="0" applyFont="1" applyFill="1" applyBorder="1" applyAlignment="1">
      <alignment horizontal="center"/>
    </xf>
    <xf numFmtId="1" fontId="25" fillId="0" borderId="9" xfId="0" applyNumberFormat="1" applyFont="1" applyFill="1" applyBorder="1"/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/>
    <xf numFmtId="1" fontId="25" fillId="0" borderId="0" xfId="0" applyNumberFormat="1" applyFont="1" applyFill="1" applyBorder="1"/>
    <xf numFmtId="0" fontId="26" fillId="0" borderId="54" xfId="0" applyFont="1" applyFill="1" applyBorder="1" applyAlignment="1">
      <alignment horizontal="center"/>
    </xf>
    <xf numFmtId="0" fontId="26" fillId="0" borderId="34" xfId="0" applyFont="1" applyFill="1" applyBorder="1"/>
    <xf numFmtId="0" fontId="25" fillId="0" borderId="34" xfId="0" applyFont="1" applyFill="1" applyBorder="1" applyAlignment="1"/>
    <xf numFmtId="0" fontId="30" fillId="0" borderId="0" xfId="0" applyFont="1" applyFill="1" applyBorder="1"/>
    <xf numFmtId="0" fontId="31" fillId="0" borderId="58" xfId="0" applyFont="1" applyFill="1" applyBorder="1"/>
    <xf numFmtId="0" fontId="31" fillId="0" borderId="59" xfId="0" applyFont="1" applyFill="1" applyBorder="1"/>
    <xf numFmtId="0" fontId="31" fillId="0" borderId="33" xfId="0" applyFont="1" applyFill="1" applyBorder="1"/>
    <xf numFmtId="0" fontId="31" fillId="0" borderId="60" xfId="0" applyFont="1" applyFill="1" applyBorder="1"/>
    <xf numFmtId="0" fontId="31" fillId="0" borderId="64" xfId="0" applyFont="1" applyFill="1" applyBorder="1"/>
    <xf numFmtId="0" fontId="31" fillId="0" borderId="0" xfId="0" applyFont="1" applyFill="1" applyBorder="1"/>
    <xf numFmtId="0" fontId="31" fillId="0" borderId="49" xfId="0" applyFont="1" applyFill="1" applyBorder="1"/>
    <xf numFmtId="0" fontId="28" fillId="0" borderId="36" xfId="0" applyFont="1" applyFill="1" applyBorder="1"/>
    <xf numFmtId="1" fontId="32" fillId="0" borderId="24" xfId="0" applyNumberFormat="1" applyFont="1" applyFill="1" applyBorder="1"/>
    <xf numFmtId="1" fontId="32" fillId="0" borderId="35" xfId="0" applyNumberFormat="1" applyFont="1" applyFill="1" applyBorder="1"/>
    <xf numFmtId="2" fontId="32" fillId="0" borderId="46" xfId="0" applyNumberFormat="1" applyFont="1" applyFill="1" applyBorder="1"/>
    <xf numFmtId="2" fontId="32" fillId="0" borderId="61" xfId="0" applyNumberFormat="1" applyFont="1" applyFill="1" applyBorder="1"/>
    <xf numFmtId="4" fontId="25" fillId="0" borderId="0" xfId="0" applyNumberFormat="1" applyFont="1" applyFill="1" applyBorder="1"/>
    <xf numFmtId="4" fontId="1" fillId="0" borderId="0" xfId="0" applyNumberFormat="1" applyFont="1" applyFill="1" applyBorder="1"/>
    <xf numFmtId="4" fontId="25" fillId="0" borderId="49" xfId="0" applyNumberFormat="1" applyFont="1" applyFill="1" applyBorder="1"/>
    <xf numFmtId="4" fontId="1" fillId="0" borderId="0" xfId="0" applyNumberFormat="1" applyFont="1" applyFill="1"/>
    <xf numFmtId="0" fontId="28" fillId="0" borderId="18" xfId="0" applyFont="1" applyFill="1" applyBorder="1"/>
    <xf numFmtId="1" fontId="32" fillId="0" borderId="38" xfId="0" applyNumberFormat="1" applyFont="1" applyFill="1" applyBorder="1"/>
    <xf numFmtId="1" fontId="32" fillId="0" borderId="20" xfId="0" applyNumberFormat="1" applyFont="1" applyFill="1" applyBorder="1"/>
    <xf numFmtId="0" fontId="25" fillId="0" borderId="64" xfId="0" applyFont="1" applyFill="1" applyBorder="1"/>
    <xf numFmtId="2" fontId="32" fillId="0" borderId="56" xfId="0" applyNumberFormat="1" applyFont="1" applyFill="1" applyBorder="1"/>
    <xf numFmtId="1" fontId="26" fillId="0" borderId="69" xfId="0" applyNumberFormat="1" applyFont="1" applyFill="1" applyBorder="1"/>
    <xf numFmtId="2" fontId="26" fillId="0" borderId="56" xfId="0" applyNumberFormat="1" applyFont="1" applyFill="1" applyBorder="1"/>
    <xf numFmtId="3" fontId="28" fillId="0" borderId="64" xfId="0" applyNumberFormat="1" applyFont="1" applyFill="1" applyBorder="1"/>
    <xf numFmtId="4" fontId="28" fillId="0" borderId="0" xfId="0" applyNumberFormat="1" applyFont="1" applyFill="1" applyBorder="1"/>
    <xf numFmtId="3" fontId="28" fillId="0" borderId="0" xfId="0" applyNumberFormat="1" applyFont="1" applyFill="1" applyBorder="1"/>
    <xf numFmtId="4" fontId="28" fillId="0" borderId="64" xfId="0" applyNumberFormat="1" applyFont="1" applyFill="1" applyBorder="1"/>
    <xf numFmtId="0" fontId="28" fillId="0" borderId="21" xfId="0" applyFont="1" applyFill="1" applyBorder="1"/>
    <xf numFmtId="3" fontId="25" fillId="0" borderId="67" xfId="0" applyNumberFormat="1" applyFont="1" applyFill="1" applyBorder="1"/>
    <xf numFmtId="4" fontId="25" fillId="0" borderId="62" xfId="0" applyNumberFormat="1" applyFont="1" applyFill="1" applyBorder="1"/>
    <xf numFmtId="3" fontId="25" fillId="0" borderId="62" xfId="0" applyNumberFormat="1" applyFont="1" applyFill="1" applyBorder="1"/>
    <xf numFmtId="4" fontId="25" fillId="0" borderId="68" xfId="0" applyNumberFormat="1" applyFont="1" applyFill="1" applyBorder="1"/>
    <xf numFmtId="0" fontId="29" fillId="0" borderId="7" xfId="0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30" fillId="0" borderId="54" xfId="0" applyFont="1" applyFill="1" applyBorder="1"/>
    <xf numFmtId="0" fontId="26" fillId="0" borderId="14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32" fillId="0" borderId="14" xfId="0" applyFont="1" applyFill="1" applyBorder="1"/>
    <xf numFmtId="2" fontId="32" fillId="0" borderId="24" xfId="0" applyNumberFormat="1" applyFont="1" applyFill="1" applyBorder="1"/>
    <xf numFmtId="2" fontId="32" fillId="0" borderId="26" xfId="0" applyNumberFormat="1" applyFont="1" applyFill="1" applyBorder="1"/>
    <xf numFmtId="0" fontId="28" fillId="0" borderId="0" xfId="0" applyFont="1" applyFill="1"/>
    <xf numFmtId="0" fontId="26" fillId="0" borderId="18" xfId="81" applyFont="1" applyFill="1" applyBorder="1" applyAlignment="1">
      <alignment horizontal="center"/>
    </xf>
    <xf numFmtId="0" fontId="32" fillId="0" borderId="4" xfId="81" applyFont="1" applyFill="1" applyBorder="1"/>
    <xf numFmtId="1" fontId="32" fillId="0" borderId="19" xfId="82" applyNumberFormat="1" applyFont="1" applyFill="1" applyBorder="1" applyAlignment="1">
      <alignment horizontal="center"/>
    </xf>
    <xf numFmtId="1" fontId="25" fillId="0" borderId="0" xfId="81" applyNumberFormat="1" applyFont="1" applyFill="1"/>
    <xf numFmtId="0" fontId="32" fillId="0" borderId="4" xfId="81" applyFont="1" applyFill="1" applyBorder="1" applyAlignment="1">
      <alignment wrapText="1"/>
    </xf>
    <xf numFmtId="0" fontId="26" fillId="0" borderId="4" xfId="81" applyFont="1" applyFill="1" applyBorder="1" applyAlignment="1">
      <alignment horizontal="left"/>
    </xf>
    <xf numFmtId="0" fontId="29" fillId="0" borderId="18" xfId="81" applyFont="1" applyFill="1" applyBorder="1" applyAlignment="1">
      <alignment horizontal="center"/>
    </xf>
    <xf numFmtId="0" fontId="29" fillId="0" borderId="19" xfId="81" applyFont="1" applyFill="1" applyBorder="1" applyAlignment="1">
      <alignment horizontal="center"/>
    </xf>
    <xf numFmtId="0" fontId="30" fillId="0" borderId="4" xfId="81" applyFont="1" applyFill="1" applyBorder="1"/>
    <xf numFmtId="0" fontId="31" fillId="0" borderId="0" xfId="81" applyFont="1" applyFill="1"/>
    <xf numFmtId="0" fontId="30" fillId="0" borderId="4" xfId="81" applyFont="1" applyFill="1" applyBorder="1" applyAlignment="1">
      <alignment wrapText="1"/>
    </xf>
    <xf numFmtId="0" fontId="26" fillId="0" borderId="4" xfId="81" applyFont="1" applyFill="1" applyBorder="1" applyAlignment="1">
      <alignment wrapText="1"/>
    </xf>
    <xf numFmtId="0" fontId="29" fillId="0" borderId="18" xfId="81" applyFont="1" applyFill="1" applyBorder="1" applyAlignment="1">
      <alignment wrapText="1"/>
    </xf>
    <xf numFmtId="0" fontId="32" fillId="0" borderId="0" xfId="81" applyFont="1" applyFill="1"/>
    <xf numFmtId="10" fontId="32" fillId="0" borderId="19" xfId="132" applyNumberFormat="1" applyFont="1" applyFill="1" applyBorder="1" applyAlignment="1">
      <alignment horizontal="center"/>
    </xf>
    <xf numFmtId="0" fontId="32" fillId="0" borderId="5" xfId="0" applyFont="1" applyFill="1" applyBorder="1"/>
    <xf numFmtId="2" fontId="32" fillId="0" borderId="5" xfId="0" applyNumberFormat="1" applyFont="1" applyFill="1" applyBorder="1"/>
    <xf numFmtId="0" fontId="26" fillId="0" borderId="5" xfId="0" applyFont="1" applyFill="1" applyBorder="1"/>
    <xf numFmtId="2" fontId="26" fillId="0" borderId="23" xfId="81" applyNumberFormat="1" applyFont="1" applyFill="1" applyBorder="1" applyAlignment="1">
      <alignment horizontal="left"/>
    </xf>
    <xf numFmtId="186" fontId="32" fillId="0" borderId="18" xfId="133" applyNumberFormat="1" applyFont="1" applyFill="1" applyBorder="1"/>
    <xf numFmtId="186" fontId="32" fillId="0" borderId="27" xfId="133" applyNumberFormat="1" applyFont="1" applyFill="1" applyBorder="1"/>
    <xf numFmtId="186" fontId="32" fillId="0" borderId="50" xfId="133" applyNumberFormat="1" applyFont="1" applyFill="1" applyBorder="1"/>
    <xf numFmtId="186" fontId="32" fillId="0" borderId="5" xfId="133" applyNumberFormat="1" applyFont="1" applyFill="1" applyBorder="1"/>
    <xf numFmtId="186" fontId="26" fillId="0" borderId="5" xfId="133" applyNumberFormat="1" applyFont="1" applyFill="1" applyBorder="1"/>
    <xf numFmtId="186" fontId="44" fillId="0" borderId="5" xfId="133" applyNumberFormat="1" applyFont="1" applyFill="1" applyBorder="1"/>
    <xf numFmtId="186" fontId="1" fillId="0" borderId="5" xfId="133" applyNumberFormat="1" applyFont="1" applyFill="1" applyBorder="1"/>
    <xf numFmtId="186" fontId="26" fillId="0" borderId="27" xfId="133" applyNumberFormat="1" applyFont="1" applyFill="1" applyBorder="1"/>
    <xf numFmtId="186" fontId="26" fillId="0" borderId="50" xfId="133" applyNumberFormat="1" applyFont="1" applyFill="1" applyBorder="1"/>
    <xf numFmtId="186" fontId="26" fillId="0" borderId="57" xfId="133" applyNumberFormat="1" applyFont="1" applyFill="1" applyBorder="1"/>
    <xf numFmtId="2" fontId="26" fillId="0" borderId="5" xfId="0" applyNumberFormat="1" applyFont="1" applyFill="1" applyBorder="1"/>
    <xf numFmtId="0" fontId="27" fillId="0" borderId="66" xfId="0" applyFont="1" applyFill="1" applyBorder="1" applyAlignment="1"/>
    <xf numFmtId="0" fontId="27" fillId="0" borderId="45" xfId="0" applyFont="1" applyFill="1" applyBorder="1" applyAlignment="1"/>
    <xf numFmtId="0" fontId="0" fillId="19" borderId="0" xfId="0" applyFill="1" applyAlignment="1">
      <alignment horizontal="center"/>
    </xf>
    <xf numFmtId="0" fontId="43" fillId="19" borderId="0" xfId="0" applyFont="1" applyFill="1"/>
    <xf numFmtId="4" fontId="0" fillId="0" borderId="0" xfId="0" applyNumberFormat="1"/>
    <xf numFmtId="0" fontId="32" fillId="0" borderId="65" xfId="0" applyFont="1" applyFill="1" applyBorder="1" applyAlignment="1"/>
    <xf numFmtId="0" fontId="32" fillId="0" borderId="65" xfId="0" applyFont="1" applyFill="1" applyBorder="1" applyAlignment="1">
      <alignment wrapText="1"/>
    </xf>
    <xf numFmtId="1" fontId="26" fillId="0" borderId="29" xfId="0" applyNumberFormat="1" applyFont="1" applyFill="1" applyBorder="1"/>
    <xf numFmtId="1" fontId="26" fillId="0" borderId="38" xfId="0" applyNumberFormat="1" applyFont="1" applyFill="1" applyBorder="1"/>
    <xf numFmtId="165" fontId="25" fillId="0" borderId="0" xfId="133" applyFont="1" applyFill="1" applyBorder="1"/>
    <xf numFmtId="165" fontId="25" fillId="0" borderId="0" xfId="133" applyFont="1" applyFill="1"/>
    <xf numFmtId="165" fontId="25" fillId="0" borderId="0" xfId="133" applyFont="1" applyFill="1" applyAlignment="1">
      <alignment vertical="center"/>
    </xf>
    <xf numFmtId="165" fontId="31" fillId="0" borderId="0" xfId="133" applyFont="1" applyFill="1"/>
    <xf numFmtId="165" fontId="32" fillId="0" borderId="65" xfId="133" applyFont="1" applyFill="1" applyBorder="1" applyAlignment="1">
      <alignment wrapText="1"/>
    </xf>
    <xf numFmtId="165" fontId="31" fillId="0" borderId="49" xfId="133" applyFont="1" applyFill="1" applyBorder="1"/>
    <xf numFmtId="165" fontId="25" fillId="0" borderId="49" xfId="133" applyFont="1" applyFill="1" applyBorder="1"/>
    <xf numFmtId="165" fontId="25" fillId="0" borderId="68" xfId="133" applyFont="1" applyFill="1" applyBorder="1"/>
    <xf numFmtId="0" fontId="32" fillId="0" borderId="0" xfId="81" applyFont="1" applyFill="1" applyBorder="1"/>
    <xf numFmtId="0" fontId="26" fillId="0" borderId="9" xfId="81" applyFont="1" applyFill="1" applyBorder="1" applyAlignment="1">
      <alignment horizontal="center"/>
    </xf>
    <xf numFmtId="0" fontId="26" fillId="0" borderId="11" xfId="81" applyFont="1" applyFill="1" applyBorder="1" applyAlignment="1">
      <alignment horizontal="center" wrapText="1"/>
    </xf>
    <xf numFmtId="0" fontId="32" fillId="0" borderId="37" xfId="81" applyFont="1" applyFill="1" applyBorder="1" applyAlignment="1">
      <alignment horizontal="center"/>
    </xf>
    <xf numFmtId="2" fontId="26" fillId="0" borderId="42" xfId="81" applyNumberFormat="1" applyFont="1" applyFill="1" applyBorder="1" applyAlignment="1">
      <alignment horizontal="center"/>
    </xf>
    <xf numFmtId="0" fontId="32" fillId="0" borderId="44" xfId="81" applyFont="1" applyFill="1" applyBorder="1" applyAlignment="1">
      <alignment horizontal="center"/>
    </xf>
    <xf numFmtId="0" fontId="32" fillId="0" borderId="14" xfId="81" applyFont="1" applyFill="1" applyBorder="1" applyAlignment="1">
      <alignment horizontal="center"/>
    </xf>
    <xf numFmtId="0" fontId="32" fillId="0" borderId="16" xfId="81" applyFont="1" applyFill="1" applyBorder="1" applyAlignment="1">
      <alignment horizontal="center"/>
    </xf>
    <xf numFmtId="2" fontId="26" fillId="0" borderId="7" xfId="81" applyNumberFormat="1" applyFont="1" applyFill="1" applyBorder="1" applyAlignment="1">
      <alignment horizontal="center" wrapText="1"/>
    </xf>
    <xf numFmtId="0" fontId="32" fillId="0" borderId="17" xfId="81" applyFont="1" applyFill="1" applyBorder="1" applyAlignment="1">
      <alignment horizontal="center"/>
    </xf>
    <xf numFmtId="187" fontId="32" fillId="0" borderId="19" xfId="81" applyNumberFormat="1" applyFont="1" applyFill="1" applyBorder="1" applyAlignment="1">
      <alignment horizontal="center"/>
    </xf>
    <xf numFmtId="187" fontId="32" fillId="0" borderId="16" xfId="81" applyNumberFormat="1" applyFont="1" applyFill="1" applyBorder="1" applyAlignment="1">
      <alignment horizontal="center"/>
    </xf>
    <xf numFmtId="187" fontId="32" fillId="0" borderId="19" xfId="81" applyNumberFormat="1" applyFont="1" applyBorder="1" applyAlignment="1">
      <alignment horizontal="center"/>
    </xf>
    <xf numFmtId="0" fontId="45" fillId="0" borderId="0" xfId="134" applyNumberFormat="1" applyFont="1" applyFill="1" applyBorder="1" applyAlignment="1" applyProtection="1">
      <alignment vertical="center"/>
    </xf>
    <xf numFmtId="0" fontId="46" fillId="0" borderId="0" xfId="85" applyFont="1" applyFill="1" applyBorder="1" applyAlignment="1">
      <alignment vertical="center"/>
    </xf>
    <xf numFmtId="0" fontId="46" fillId="0" borderId="0" xfId="85" applyFont="1" applyFill="1" applyBorder="1" applyAlignment="1">
      <alignment horizontal="center" vertical="center"/>
    </xf>
    <xf numFmtId="0" fontId="45" fillId="0" borderId="0" xfId="85" applyFont="1" applyFill="1" applyBorder="1" applyAlignment="1">
      <alignment horizontal="center" vertical="center"/>
    </xf>
    <xf numFmtId="0" fontId="47" fillId="0" borderId="0" xfId="134" applyNumberFormat="1" applyFont="1" applyFill="1" applyBorder="1" applyAlignment="1" applyProtection="1"/>
    <xf numFmtId="0" fontId="1" fillId="0" borderId="0" xfId="134" applyNumberFormat="1" applyFont="1" applyFill="1" applyBorder="1" applyAlignment="1" applyProtection="1">
      <alignment vertical="center"/>
    </xf>
    <xf numFmtId="0" fontId="47" fillId="0" borderId="0" xfId="134" applyNumberFormat="1" applyFont="1" applyFill="1" applyBorder="1" applyAlignment="1" applyProtection="1">
      <alignment vertical="center"/>
    </xf>
    <xf numFmtId="0" fontId="48" fillId="0" borderId="0" xfId="134" applyNumberFormat="1" applyFont="1" applyFill="1" applyBorder="1" applyAlignment="1" applyProtection="1">
      <alignment vertical="center"/>
    </xf>
    <xf numFmtId="0" fontId="45" fillId="0" borderId="0" xfId="85" applyFont="1" applyFill="1" applyBorder="1" applyAlignment="1">
      <alignment vertical="center"/>
    </xf>
    <xf numFmtId="0" fontId="46" fillId="0" borderId="5" xfId="85" applyFont="1" applyFill="1" applyBorder="1" applyAlignment="1">
      <alignment horizontal="center" vertical="center"/>
    </xf>
    <xf numFmtId="0" fontId="46" fillId="0" borderId="5" xfId="85" applyFont="1" applyFill="1" applyBorder="1" applyAlignment="1">
      <alignment horizontal="left" vertical="center" wrapText="1"/>
    </xf>
    <xf numFmtId="0" fontId="46" fillId="0" borderId="5" xfId="85" applyFont="1" applyFill="1" applyBorder="1" applyAlignment="1">
      <alignment horizontal="center" vertical="center" wrapText="1"/>
    </xf>
    <xf numFmtId="0" fontId="45" fillId="0" borderId="5" xfId="85" applyFont="1" applyFill="1" applyBorder="1" applyAlignment="1">
      <alignment vertical="center"/>
    </xf>
    <xf numFmtId="0" fontId="45" fillId="0" borderId="5" xfId="85" applyFont="1" applyFill="1" applyBorder="1" applyAlignment="1">
      <alignment horizontal="center" vertical="center"/>
    </xf>
    <xf numFmtId="0" fontId="45" fillId="0" borderId="5" xfId="85" applyFont="1" applyFill="1" applyBorder="1" applyAlignment="1">
      <alignment horizontal="left" vertical="center"/>
    </xf>
    <xf numFmtId="0" fontId="45" fillId="0" borderId="5" xfId="135" applyNumberFormat="1" applyFont="1" applyFill="1" applyBorder="1" applyAlignment="1" applyProtection="1">
      <alignment horizontal="center" vertical="center"/>
    </xf>
    <xf numFmtId="0" fontId="45" fillId="0" borderId="0" xfId="85" applyFont="1" applyFill="1" applyAlignment="1">
      <alignment vertical="center"/>
    </xf>
    <xf numFmtId="0" fontId="45" fillId="0" borderId="0" xfId="85" applyFont="1" applyFill="1" applyAlignment="1">
      <alignment horizontal="center" vertical="center"/>
    </xf>
    <xf numFmtId="0" fontId="46" fillId="0" borderId="0" xfId="85" applyFont="1" applyFill="1" applyAlignment="1">
      <alignment vertical="center"/>
    </xf>
    <xf numFmtId="0" fontId="1" fillId="0" borderId="0" xfId="85" applyFont="1" applyFill="1" applyAlignment="1">
      <alignment vertical="center"/>
    </xf>
    <xf numFmtId="0" fontId="45" fillId="0" borderId="43" xfId="85" applyFont="1" applyFill="1" applyBorder="1" applyAlignment="1">
      <alignment horizontal="center" vertical="center"/>
    </xf>
    <xf numFmtId="0" fontId="1" fillId="0" borderId="0" xfId="85" applyFont="1" applyFill="1" applyBorder="1" applyAlignment="1">
      <alignment vertical="center"/>
    </xf>
    <xf numFmtId="0" fontId="1" fillId="0" borderId="0" xfId="85" applyFont="1" applyFill="1" applyAlignment="1">
      <alignment horizontal="center" vertical="center"/>
    </xf>
    <xf numFmtId="0" fontId="49" fillId="0" borderId="0" xfId="136" applyNumberFormat="1" applyFont="1" applyFill="1" applyBorder="1" applyAlignment="1" applyProtection="1">
      <alignment vertical="center"/>
    </xf>
    <xf numFmtId="0" fontId="42" fillId="0" borderId="0" xfId="136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42" fillId="0" borderId="0" xfId="137" applyNumberFormat="1" applyFont="1" applyFill="1" applyBorder="1" applyAlignment="1" applyProtection="1">
      <alignment vertical="center"/>
    </xf>
    <xf numFmtId="0" fontId="50" fillId="0" borderId="0" xfId="136" applyNumberFormat="1" applyFont="1" applyFill="1" applyBorder="1" applyAlignment="1" applyProtection="1">
      <alignment vertical="center"/>
    </xf>
    <xf numFmtId="0" fontId="42" fillId="0" borderId="0" xfId="138" applyNumberFormat="1" applyFont="1" applyFill="1" applyBorder="1" applyAlignment="1" applyProtection="1">
      <alignment vertical="center"/>
    </xf>
    <xf numFmtId="0" fontId="48" fillId="0" borderId="0" xfId="136" applyNumberFormat="1" applyFont="1" applyFill="1" applyBorder="1" applyAlignment="1" applyProtection="1">
      <alignment vertical="center"/>
    </xf>
    <xf numFmtId="0" fontId="51" fillId="0" borderId="0" xfId="137" applyNumberFormat="1" applyFont="1" applyFill="1" applyBorder="1" applyAlignment="1" applyProtection="1">
      <alignment vertical="center"/>
    </xf>
    <xf numFmtId="0" fontId="42" fillId="0" borderId="27" xfId="137" applyNumberFormat="1" applyFont="1" applyFill="1" applyBorder="1" applyAlignment="1" applyProtection="1">
      <alignment horizontal="left" vertical="center" wrapText="1"/>
    </xf>
    <xf numFmtId="0" fontId="42" fillId="0" borderId="5" xfId="137" applyNumberFormat="1" applyFont="1" applyFill="1" applyBorder="1" applyAlignment="1" applyProtection="1">
      <alignment horizontal="left" vertical="center" wrapText="1"/>
    </xf>
    <xf numFmtId="0" fontId="47" fillId="0" borderId="5" xfId="137" applyNumberFormat="1" applyFont="1" applyFill="1" applyBorder="1" applyAlignment="1" applyProtection="1">
      <alignment horizontal="center" vertical="center" wrapText="1"/>
    </xf>
    <xf numFmtId="0" fontId="52" fillId="0" borderId="5" xfId="137" applyNumberFormat="1" applyFont="1" applyFill="1" applyBorder="1" applyAlignment="1" applyProtection="1">
      <alignment horizontal="center" vertical="center" wrapText="1"/>
    </xf>
    <xf numFmtId="0" fontId="52" fillId="0" borderId="50" xfId="137" applyNumberFormat="1" applyFont="1" applyFill="1" applyBorder="1" applyAlignment="1" applyProtection="1">
      <alignment horizontal="center" vertical="center" wrapText="1"/>
    </xf>
    <xf numFmtId="0" fontId="42" fillId="0" borderId="0" xfId="137" applyNumberFormat="1" applyFont="1" applyFill="1" applyBorder="1" applyAlignment="1" applyProtection="1">
      <alignment vertical="center" wrapText="1"/>
    </xf>
    <xf numFmtId="0" fontId="53" fillId="20" borderId="27" xfId="137" applyNumberFormat="1" applyFont="1" applyFill="1" applyBorder="1" applyAlignment="1" applyProtection="1">
      <alignment horizontal="left" vertical="center"/>
    </xf>
    <xf numFmtId="0" fontId="53" fillId="21" borderId="5" xfId="137" applyNumberFormat="1" applyFont="1" applyFill="1" applyBorder="1" applyAlignment="1" applyProtection="1">
      <alignment horizontal="center" vertical="center"/>
    </xf>
    <xf numFmtId="0" fontId="32" fillId="21" borderId="5" xfId="0" applyNumberFormat="1" applyFont="1" applyFill="1" applyBorder="1" applyAlignment="1" applyProtection="1">
      <alignment horizontal="center" vertical="center"/>
    </xf>
    <xf numFmtId="2" fontId="32" fillId="21" borderId="5" xfId="132" applyNumberFormat="1" applyFont="1" applyFill="1" applyBorder="1" applyAlignment="1" applyProtection="1">
      <alignment horizontal="center" vertical="center"/>
    </xf>
    <xf numFmtId="0" fontId="53" fillId="21" borderId="5" xfId="0" applyFont="1" applyFill="1" applyBorder="1" applyAlignment="1">
      <alignment horizontal="center" vertical="center"/>
    </xf>
    <xf numFmtId="2" fontId="53" fillId="21" borderId="5" xfId="0" applyNumberFormat="1" applyFont="1" applyFill="1" applyBorder="1" applyAlignment="1">
      <alignment horizontal="center" vertical="center"/>
    </xf>
    <xf numFmtId="0" fontId="42" fillId="21" borderId="0" xfId="137" applyNumberFormat="1" applyFont="1" applyFill="1" applyBorder="1" applyAlignment="1" applyProtection="1">
      <alignment vertical="center"/>
    </xf>
    <xf numFmtId="2" fontId="53" fillId="21" borderId="5" xfId="132" applyNumberFormat="1" applyFont="1" applyFill="1" applyBorder="1" applyAlignment="1" applyProtection="1">
      <alignment horizontal="center" vertical="center"/>
    </xf>
    <xf numFmtId="2" fontId="53" fillId="21" borderId="5" xfId="0" applyNumberFormat="1" applyFont="1" applyFill="1" applyBorder="1" applyAlignment="1" applyProtection="1">
      <alignment horizontal="center" vertical="center"/>
    </xf>
    <xf numFmtId="0" fontId="53" fillId="20" borderId="28" xfId="137" applyNumberFormat="1" applyFont="1" applyFill="1" applyBorder="1" applyAlignment="1" applyProtection="1">
      <alignment horizontal="left" vertical="center"/>
    </xf>
    <xf numFmtId="0" fontId="53" fillId="21" borderId="29" xfId="137" applyNumberFormat="1" applyFont="1" applyFill="1" applyBorder="1" applyAlignment="1" applyProtection="1">
      <alignment horizontal="center" vertical="center"/>
    </xf>
    <xf numFmtId="0" fontId="2" fillId="21" borderId="28" xfId="137" applyNumberFormat="1" applyFont="1" applyFill="1" applyBorder="1" applyAlignment="1" applyProtection="1">
      <alignment horizontal="left" vertical="center"/>
    </xf>
    <xf numFmtId="0" fontId="2" fillId="21" borderId="29" xfId="137" applyNumberFormat="1" applyFont="1" applyFill="1" applyBorder="1" applyAlignment="1" applyProtection="1">
      <alignment horizontal="center" vertical="center"/>
    </xf>
    <xf numFmtId="2" fontId="2" fillId="21" borderId="29" xfId="137" applyNumberFormat="1" applyFont="1" applyFill="1" applyBorder="1" applyAlignment="1" applyProtection="1">
      <alignment horizontal="center" vertical="center"/>
    </xf>
    <xf numFmtId="0" fontId="48" fillId="21" borderId="0" xfId="137" applyNumberFormat="1" applyFont="1" applyFill="1" applyBorder="1" applyAlignment="1" applyProtection="1">
      <alignment vertical="center"/>
    </xf>
    <xf numFmtId="0" fontId="53" fillId="21" borderId="5" xfId="0" applyNumberFormat="1" applyFont="1" applyFill="1" applyBorder="1" applyAlignment="1" applyProtection="1">
      <alignment horizontal="center" vertical="center"/>
    </xf>
    <xf numFmtId="0" fontId="2" fillId="21" borderId="39" xfId="137" applyNumberFormat="1" applyFont="1" applyFill="1" applyBorder="1" applyAlignment="1" applyProtection="1">
      <alignment horizontal="left" vertical="center"/>
    </xf>
    <xf numFmtId="0" fontId="2" fillId="21" borderId="40" xfId="137" applyNumberFormat="1" applyFont="1" applyFill="1" applyBorder="1" applyAlignment="1" applyProtection="1">
      <alignment horizontal="center" vertical="center"/>
    </xf>
    <xf numFmtId="2" fontId="2" fillId="21" borderId="40" xfId="137" applyNumberFormat="1" applyFont="1" applyFill="1" applyBorder="1" applyAlignment="1" applyProtection="1">
      <alignment horizontal="center" vertical="center"/>
    </xf>
    <xf numFmtId="0" fontId="42" fillId="0" borderId="27" xfId="137" applyNumberFormat="1" applyFont="1" applyFill="1" applyBorder="1" applyAlignment="1" applyProtection="1">
      <alignment horizontal="left" vertical="center"/>
    </xf>
    <xf numFmtId="0" fontId="42" fillId="0" borderId="5" xfId="137" applyNumberFormat="1" applyFont="1" applyFill="1" applyBorder="1" applyAlignment="1" applyProtection="1">
      <alignment horizontal="left" vertical="center"/>
    </xf>
    <xf numFmtId="0" fontId="53" fillId="0" borderId="0" xfId="137" applyNumberFormat="1" applyFont="1" applyFill="1" applyBorder="1" applyAlignment="1" applyProtection="1">
      <alignment vertical="center"/>
    </xf>
    <xf numFmtId="0" fontId="53" fillId="21" borderId="0" xfId="0" applyFont="1" applyFill="1" applyBorder="1" applyAlignment="1">
      <alignment horizontal="center" vertical="center"/>
    </xf>
    <xf numFmtId="0" fontId="53" fillId="21" borderId="5" xfId="137" applyFont="1" applyFill="1" applyBorder="1" applyAlignment="1" applyProtection="1">
      <alignment horizontal="center" vertical="center"/>
    </xf>
    <xf numFmtId="0" fontId="24" fillId="0" borderId="0" xfId="81" applyFont="1" applyAlignment="1">
      <alignment horizontal="center"/>
    </xf>
    <xf numFmtId="0" fontId="24" fillId="0" borderId="0" xfId="81" applyFont="1" applyAlignment="1">
      <alignment horizontal="center" vertical="center"/>
    </xf>
    <xf numFmtId="0" fontId="26" fillId="0" borderId="54" xfId="81" applyFont="1" applyFill="1" applyBorder="1" applyAlignment="1">
      <alignment horizontal="center" wrapText="1"/>
    </xf>
    <xf numFmtId="0" fontId="26" fillId="0" borderId="60" xfId="81" applyFont="1" applyFill="1" applyBorder="1" applyAlignment="1">
      <alignment horizontal="center" wrapText="1"/>
    </xf>
    <xf numFmtId="0" fontId="26" fillId="0" borderId="0" xfId="81" applyFont="1" applyBorder="1" applyAlignment="1">
      <alignment horizontal="left" wrapText="1"/>
    </xf>
    <xf numFmtId="0" fontId="27" fillId="0" borderId="0" xfId="81" applyFont="1" applyAlignment="1">
      <alignment horizontal="right"/>
    </xf>
    <xf numFmtId="0" fontId="26" fillId="0" borderId="0" xfId="81" applyFont="1" applyBorder="1" applyAlignment="1">
      <alignment horizontal="left" vertical="top" wrapText="1"/>
    </xf>
    <xf numFmtId="0" fontId="26" fillId="0" borderId="33" xfId="81" applyFont="1" applyBorder="1" applyAlignment="1">
      <alignment horizontal="center"/>
    </xf>
    <xf numFmtId="0" fontId="26" fillId="0" borderId="60" xfId="81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26" fillId="0" borderId="55" xfId="81" applyFont="1" applyFill="1" applyBorder="1" applyAlignment="1">
      <alignment horizontal="center" wrapText="1"/>
    </xf>
    <xf numFmtId="0" fontId="27" fillId="0" borderId="62" xfId="81" applyFont="1" applyBorder="1" applyAlignment="1">
      <alignment horizontal="right"/>
    </xf>
    <xf numFmtId="0" fontId="26" fillId="0" borderId="33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 wrapText="1"/>
    </xf>
    <xf numFmtId="0" fontId="32" fillId="0" borderId="6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 wrapText="1"/>
    </xf>
    <xf numFmtId="0" fontId="24" fillId="0" borderId="54" xfId="0" applyFont="1" applyFill="1" applyBorder="1" applyAlignment="1">
      <alignment horizontal="center" wrapText="1"/>
    </xf>
    <xf numFmtId="0" fontId="24" fillId="0" borderId="60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right"/>
    </xf>
    <xf numFmtId="0" fontId="39" fillId="0" borderId="12" xfId="0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26" fillId="0" borderId="55" xfId="0" applyFont="1" applyFill="1" applyBorder="1" applyAlignment="1">
      <alignment horizontal="center" wrapText="1"/>
    </xf>
    <xf numFmtId="0" fontId="26" fillId="0" borderId="60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6" fillId="0" borderId="11" xfId="81" applyFont="1" applyBorder="1" applyAlignment="1">
      <alignment horizontal="left" wrapText="1"/>
    </xf>
    <xf numFmtId="0" fontId="26" fillId="0" borderId="3" xfId="81" applyFont="1" applyBorder="1" applyAlignment="1">
      <alignment horizontal="left" wrapText="1"/>
    </xf>
    <xf numFmtId="0" fontId="26" fillId="0" borderId="12" xfId="81" applyFont="1" applyBorder="1" applyAlignment="1">
      <alignment horizontal="left" wrapText="1"/>
    </xf>
    <xf numFmtId="0" fontId="26" fillId="0" borderId="0" xfId="81" applyFont="1" applyAlignment="1">
      <alignment horizontal="center"/>
    </xf>
    <xf numFmtId="0" fontId="26" fillId="0" borderId="0" xfId="81" applyFont="1" applyAlignment="1">
      <alignment horizontal="right"/>
    </xf>
    <xf numFmtId="0" fontId="26" fillId="0" borderId="55" xfId="81" applyFont="1" applyBorder="1" applyAlignment="1">
      <alignment horizontal="center" wrapText="1"/>
    </xf>
    <xf numFmtId="0" fontId="26" fillId="0" borderId="60" xfId="81" applyFont="1" applyBorder="1" applyAlignment="1">
      <alignment horizontal="center" wrapText="1"/>
    </xf>
    <xf numFmtId="0" fontId="26" fillId="0" borderId="62" xfId="81" applyFont="1" applyBorder="1" applyAlignment="1">
      <alignment horizontal="right" vertical="center"/>
    </xf>
    <xf numFmtId="0" fontId="45" fillId="0" borderId="48" xfId="85" applyFont="1" applyFill="1" applyBorder="1" applyAlignment="1">
      <alignment horizontal="center" vertical="center"/>
    </xf>
    <xf numFmtId="0" fontId="45" fillId="0" borderId="15" xfId="85" applyFont="1" applyFill="1" applyBorder="1" applyAlignment="1">
      <alignment horizontal="center" vertical="center"/>
    </xf>
    <xf numFmtId="0" fontId="45" fillId="0" borderId="0" xfId="85" applyFont="1" applyFill="1" applyAlignment="1">
      <alignment horizontal="left" vertical="center" wrapText="1"/>
    </xf>
    <xf numFmtId="0" fontId="55" fillId="21" borderId="70" xfId="0" applyFont="1" applyFill="1" applyBorder="1" applyAlignment="1">
      <alignment horizontal="center" vertical="center" wrapText="1"/>
    </xf>
    <xf numFmtId="0" fontId="55" fillId="21" borderId="10" xfId="0" applyFont="1" applyFill="1" applyBorder="1" applyAlignment="1">
      <alignment horizontal="center" vertical="center" wrapText="1"/>
    </xf>
    <xf numFmtId="0" fontId="55" fillId="21" borderId="32" xfId="0" applyFont="1" applyFill="1" applyBorder="1" applyAlignment="1">
      <alignment horizontal="center" vertical="center" wrapText="1"/>
    </xf>
    <xf numFmtId="0" fontId="51" fillId="0" borderId="18" xfId="137" applyNumberFormat="1" applyFont="1" applyFill="1" applyBorder="1" applyAlignment="1" applyProtection="1">
      <alignment horizontal="center" vertical="center"/>
    </xf>
    <xf numFmtId="0" fontId="51" fillId="0" borderId="4" xfId="137" applyNumberFormat="1" applyFont="1" applyFill="1" applyBorder="1" applyAlignment="1" applyProtection="1">
      <alignment horizontal="center" vertical="center"/>
    </xf>
    <xf numFmtId="0" fontId="51" fillId="0" borderId="20" xfId="137" applyNumberFormat="1" applyFont="1" applyFill="1" applyBorder="1" applyAlignment="1" applyProtection="1">
      <alignment horizontal="center" vertical="center"/>
    </xf>
    <xf numFmtId="0" fontId="50" fillId="0" borderId="18" xfId="137" applyNumberFormat="1" applyFont="1" applyFill="1" applyBorder="1" applyAlignment="1" applyProtection="1">
      <alignment horizontal="center" vertical="center" wrapText="1"/>
    </xf>
    <xf numFmtId="0" fontId="50" fillId="0" borderId="4" xfId="137" applyNumberFormat="1" applyFont="1" applyFill="1" applyBorder="1" applyAlignment="1" applyProtection="1">
      <alignment horizontal="center" vertical="center" wrapText="1"/>
    </xf>
    <xf numFmtId="0" fontId="50" fillId="0" borderId="20" xfId="137" applyNumberFormat="1" applyFont="1" applyFill="1" applyBorder="1" applyAlignment="1" applyProtection="1">
      <alignment horizontal="center" vertical="center" wrapText="1"/>
    </xf>
    <xf numFmtId="0" fontId="54" fillId="21" borderId="70" xfId="0" applyFont="1" applyFill="1" applyBorder="1" applyAlignment="1">
      <alignment horizontal="center" vertical="center" wrapText="1"/>
    </xf>
    <xf numFmtId="0" fontId="54" fillId="21" borderId="10" xfId="0" applyFont="1" applyFill="1" applyBorder="1" applyAlignment="1">
      <alignment horizontal="center" vertical="center" wrapText="1"/>
    </xf>
    <xf numFmtId="0" fontId="50" fillId="0" borderId="38" xfId="137" applyNumberFormat="1" applyFont="1" applyFill="1" applyBorder="1" applyAlignment="1" applyProtection="1">
      <alignment horizontal="center" vertical="center"/>
    </xf>
    <xf numFmtId="0" fontId="50" fillId="0" borderId="4" xfId="137" applyNumberFormat="1" applyFont="1" applyFill="1" applyBorder="1" applyAlignment="1" applyProtection="1">
      <alignment horizontal="center" vertical="center"/>
    </xf>
    <xf numFmtId="0" fontId="50" fillId="0" borderId="56" xfId="137" applyNumberFormat="1" applyFont="1" applyFill="1" applyBorder="1" applyAlignment="1" applyProtection="1">
      <alignment horizontal="center" vertical="center"/>
    </xf>
    <xf numFmtId="0" fontId="54" fillId="21" borderId="32" xfId="0" applyFont="1" applyFill="1" applyBorder="1" applyAlignment="1">
      <alignment horizontal="center" vertical="center" wrapText="1"/>
    </xf>
    <xf numFmtId="0" fontId="50" fillId="0" borderId="36" xfId="137" applyNumberFormat="1" applyFont="1" applyFill="1" applyBorder="1" applyAlignment="1" applyProtection="1">
      <alignment horizontal="center" vertical="center" wrapText="1"/>
    </xf>
    <xf numFmtId="0" fontId="50" fillId="0" borderId="53" xfId="137" applyNumberFormat="1" applyFont="1" applyFill="1" applyBorder="1" applyAlignment="1" applyProtection="1">
      <alignment horizontal="center" vertical="center" wrapText="1"/>
    </xf>
    <xf numFmtId="0" fontId="50" fillId="0" borderId="37" xfId="137" applyNumberFormat="1" applyFont="1" applyFill="1" applyBorder="1" applyAlignment="1" applyProtection="1">
      <alignment horizontal="center" vertical="center" wrapText="1"/>
    </xf>
    <xf numFmtId="0" fontId="48" fillId="0" borderId="0" xfId="137" applyNumberFormat="1" applyFont="1" applyFill="1" applyBorder="1" applyAlignment="1" applyProtection="1">
      <alignment vertical="center"/>
    </xf>
  </cellXfs>
  <cellStyles count="139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AeE­ [0]_INQUIRY ¿μ¾÷AßAø " xfId="19"/>
    <cellStyle name="AeE­_INQUIRY ¿μ¾÷AßAø " xfId="20"/>
    <cellStyle name="AÞ¸¶ [0]_INQUIRY ¿?¾÷AßAø " xfId="21"/>
    <cellStyle name="AÞ¸¶_INQUIRY ¿?¾÷AßAø " xfId="22"/>
    <cellStyle name="Black" xfId="23"/>
    <cellStyle name="Border" xfId="24"/>
    <cellStyle name="C?AØ_¿?¾÷CoE² " xfId="25"/>
    <cellStyle name="C￥AØ_¿μ¾÷CoE² 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" xfId="133" builtinId="3"/>
    <cellStyle name="Comma [00]" xfId="35"/>
    <cellStyle name="Comma 2" xfId="36"/>
    <cellStyle name="Comma 2 2" xfId="37"/>
    <cellStyle name="Comma 3" xfId="38"/>
    <cellStyle name="Comma 4" xfId="39"/>
    <cellStyle name="Comma 5" xfId="40"/>
    <cellStyle name="Comma0" xfId="41"/>
    <cellStyle name="Currency [00]" xfId="42"/>
    <cellStyle name="Currency0" xfId="43"/>
    <cellStyle name="Date" xfId="44"/>
    <cellStyle name="Date Short" xfId="45"/>
    <cellStyle name="Dezimal [0]_laroux" xfId="46"/>
    <cellStyle name="Dezimal_laroux" xfId="47"/>
    <cellStyle name="Emphasis 1" xfId="48"/>
    <cellStyle name="Emphasis 2" xfId="49"/>
    <cellStyle name="Emphasis 3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Euro" xfId="56"/>
    <cellStyle name="Fixed" xfId="57"/>
    <cellStyle name="GrandTotal" xfId="58"/>
    <cellStyle name="Grey" xfId="59"/>
    <cellStyle name="Header1" xfId="60"/>
    <cellStyle name="Header2" xfId="61"/>
    <cellStyle name="Hyperlink 2" xfId="62"/>
    <cellStyle name="Input [yellow]" xfId="63"/>
    <cellStyle name="Link Currency (0)" xfId="64"/>
    <cellStyle name="Link Currency (2)" xfId="65"/>
    <cellStyle name="Link Units (0)" xfId="66"/>
    <cellStyle name="Link Units (1)" xfId="67"/>
    <cellStyle name="Link Units (2)" xfId="68"/>
    <cellStyle name="Milliers [0]_laroux" xfId="69"/>
    <cellStyle name="Milliers_laroux" xfId="70"/>
    <cellStyle name="Non défini" xfId="71"/>
    <cellStyle name="Normal" xfId="0" builtinId="0"/>
    <cellStyle name="Normal - Style1" xfId="72"/>
    <cellStyle name="Normal 10" xfId="73"/>
    <cellStyle name="Normal 11" xfId="74"/>
    <cellStyle name="Normal 12" xfId="75"/>
    <cellStyle name="Normal 13" xfId="76"/>
    <cellStyle name="Normal 14" xfId="77"/>
    <cellStyle name="Normal 2" xfId="78"/>
    <cellStyle name="Normal 2 2" xfId="79"/>
    <cellStyle name="Normal 2 2 2" xfId="80"/>
    <cellStyle name="Normal 2 2 3" xfId="81"/>
    <cellStyle name="Normal 2 2 3 2" xfId="82"/>
    <cellStyle name="Normal 2 3" xfId="83"/>
    <cellStyle name="Normal 2 4" xfId="84"/>
    <cellStyle name="Normal 3" xfId="85"/>
    <cellStyle name="Normal 3 2" xfId="86"/>
    <cellStyle name="Normal 3 2 2" xfId="87"/>
    <cellStyle name="Normal 3 3" xfId="88"/>
    <cellStyle name="Normal 4" xfId="89"/>
    <cellStyle name="Normal 4 2" xfId="90"/>
    <cellStyle name="Normal 5" xfId="91"/>
    <cellStyle name="Normal 59" xfId="92"/>
    <cellStyle name="Normal 6" xfId="93"/>
    <cellStyle name="Normal 7" xfId="94"/>
    <cellStyle name="Normal 8" xfId="95"/>
    <cellStyle name="Normal 9" xfId="96"/>
    <cellStyle name="Normal_Accident QTRLY" xfId="136"/>
    <cellStyle name="Normal_Accident QTRLY 2 2" xfId="134"/>
    <cellStyle name="Normal_Faulty Meter QTRLY" xfId="138"/>
    <cellStyle name="Normal_Faulty Meter QTRLY 2" xfId="135"/>
    <cellStyle name="Normal_TND LOSS QTRLY" xfId="137"/>
    <cellStyle name="Note 2" xfId="97"/>
    <cellStyle name="Percent" xfId="132" builtinId="5"/>
    <cellStyle name="Percent [0]" xfId="98"/>
    <cellStyle name="Percent [00]" xfId="99"/>
    <cellStyle name="Percent [2]" xfId="100"/>
    <cellStyle name="Percent 2" xfId="101"/>
    <cellStyle name="Percent 2 2" xfId="102"/>
    <cellStyle name="Percent 2 3" xfId="103"/>
    <cellStyle name="Percent 3" xfId="104"/>
    <cellStyle name="Percent 4" xfId="105"/>
    <cellStyle name="Percent 5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Red" xfId="112"/>
    <cellStyle name="Sheet Title" xfId="113"/>
    <cellStyle name="Style 1" xfId="114"/>
    <cellStyle name="Text Indent A" xfId="115"/>
    <cellStyle name="Text Indent B" xfId="116"/>
    <cellStyle name="Text Indent C" xfId="117"/>
    <cellStyle name="totalrow" xfId="118"/>
    <cellStyle name="Währung [0]_RESULTS" xfId="119"/>
    <cellStyle name="Währung_RESULTS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HOBONG" xfId="125"/>
    <cellStyle name="뷭?_BOOKSHIP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Puneet\Local%20Settings\Temporary%20Internet%20Files\Content.IE5\TCSFHXSL\CEDEDCL_Appraisal-SBIWork-C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GHP/SOP-DGVCL/2020-21/Q4/Q4-SOP-DGVC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GVCL%20RIMS%20Q-4-IND-URBAN-GIDC-T&amp;D%2020-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ssumptions"/>
      <sheetName val="Projections"/>
      <sheetName val="CMA"/>
      <sheetName val="shp_T&amp;D_drive"/>
      <sheetName val="CDSteelMaster"/>
      <sheetName val="CEDEDCL_Appraisal-SBIWork-C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P-1"/>
      <sheetName val="SOP-02 HLY"/>
      <sheetName val="SOP-03"/>
      <sheetName val="SOP-3"/>
      <sheetName val="SOP-4"/>
      <sheetName val="SOP005"/>
      <sheetName val="SOP-6"/>
      <sheetName val="014"/>
      <sheetName val="sop-8"/>
      <sheetName val="sop-9"/>
      <sheetName val="sop-10"/>
      <sheetName val="SOP 8 "/>
      <sheetName val="SOP 9 "/>
      <sheetName val="SOP10 "/>
      <sheetName val="New 11A"/>
      <sheetName val="New 11 B"/>
      <sheetName val="New 11 C"/>
      <sheetName val="SOP-13"/>
      <sheetName val="SOP-015 HLY"/>
      <sheetName val="SOP-16"/>
      <sheetName val="Meter Testing"/>
      <sheetName val="mt check"/>
      <sheetName val="Check Sop 13"/>
      <sheetName val="SOP-13 including Rapdr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A2" t="str">
            <v>Quarter : 4 th  (i.e  JAN '21 TO MARCH '21)</v>
          </cell>
        </row>
        <row r="3">
          <cell r="A3" t="str">
            <v>Year :2020-21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DC"/>
      <sheetName val="URBAN"/>
      <sheetName val="IND"/>
    </sheetNames>
    <sheetDataSet>
      <sheetData sheetId="0"/>
      <sheetData sheetId="1">
        <row r="3">
          <cell r="A3" t="str">
            <v>Quarter : IV</v>
          </cell>
        </row>
        <row r="5">
          <cell r="A5" t="str">
            <v>Year :2020-21</v>
          </cell>
        </row>
        <row r="12">
          <cell r="E12" t="str">
            <v>% loss during current period  ( IV Quarter 20-21)</v>
          </cell>
          <cell r="F12" t="str">
            <v xml:space="preserve">% loss during previous period  (IV Quarter 19-20) </v>
          </cell>
          <cell r="G12" t="str">
            <v xml:space="preserve">No. of feedres where losses increased in current period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9.bin"/><Relationship Id="rId4" Type="http://schemas.openxmlformats.org/officeDocument/2006/relationships/oleObject" Target="../embeddings/oleObject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I97"/>
  <sheetViews>
    <sheetView topLeftCell="A68" zoomScaleSheetLayoutView="85" workbookViewId="0">
      <selection activeCell="H80" sqref="H80:H81"/>
    </sheetView>
  </sheetViews>
  <sheetFormatPr defaultColWidth="15.28515625" defaultRowHeight="15"/>
  <cols>
    <col min="1" max="2" width="4.7109375" style="2" customWidth="1"/>
    <col min="3" max="3" width="51" style="3" customWidth="1"/>
    <col min="4" max="6" width="15.28515625" style="3" customWidth="1"/>
    <col min="7" max="7" width="15.42578125" style="1" customWidth="1"/>
    <col min="8" max="8" width="14.5703125" style="1" customWidth="1"/>
    <col min="9" max="9" width="12.5703125" style="1" customWidth="1"/>
    <col min="10" max="10" width="15" style="1" customWidth="1"/>
    <col min="11" max="11" width="10.7109375" style="1" customWidth="1"/>
    <col min="12" max="29" width="9.140625" style="1" customWidth="1"/>
    <col min="30" max="30" width="16.140625" style="1" customWidth="1"/>
    <col min="31" max="31" width="9.85546875" style="1" customWidth="1"/>
    <col min="32" max="34" width="9.140625" style="1" customWidth="1"/>
    <col min="35" max="61" width="9.140625" style="1" hidden="1" customWidth="1"/>
    <col min="62" max="228" width="9.140625" style="1" customWidth="1"/>
    <col min="229" max="229" width="4.7109375" style="1" customWidth="1"/>
    <col min="230" max="230" width="0" style="1" hidden="1" customWidth="1"/>
    <col min="231" max="231" width="4.7109375" style="1" customWidth="1"/>
    <col min="232" max="232" width="48.140625" style="1" bestFit="1" customWidth="1"/>
    <col min="233" max="16384" width="15.28515625" style="1"/>
  </cols>
  <sheetData>
    <row r="1" spans="1:48" ht="22.5">
      <c r="A1" s="474" t="s">
        <v>38</v>
      </c>
      <c r="B1" s="474"/>
      <c r="C1" s="474"/>
      <c r="D1" s="474"/>
      <c r="E1" s="474"/>
      <c r="F1" s="474"/>
      <c r="G1" s="474"/>
      <c r="H1" s="474"/>
    </row>
    <row r="2" spans="1:48" ht="0.75" customHeight="1"/>
    <row r="3" spans="1:48" ht="23.25" thickBot="1">
      <c r="A3" s="475" t="s">
        <v>39</v>
      </c>
      <c r="B3" s="475"/>
      <c r="C3" s="475"/>
      <c r="D3" s="475"/>
      <c r="E3" s="475"/>
      <c r="F3" s="475"/>
      <c r="G3" s="475"/>
      <c r="H3" s="475"/>
      <c r="I3" s="479" t="s">
        <v>40</v>
      </c>
      <c r="J3" s="479"/>
    </row>
    <row r="4" spans="1:48" ht="3" hidden="1" customHeight="1">
      <c r="A4" s="4"/>
      <c r="B4" s="4"/>
      <c r="C4" s="4"/>
      <c r="D4" s="2"/>
      <c r="E4" s="2"/>
      <c r="F4" s="2"/>
      <c r="G4" s="4"/>
      <c r="H4" s="4"/>
      <c r="I4" s="5"/>
      <c r="J4" s="5"/>
    </row>
    <row r="5" spans="1:48" ht="15.75" customHeight="1" thickBot="1">
      <c r="A5" s="6"/>
      <c r="B5" s="6"/>
      <c r="C5" s="7"/>
      <c r="D5" s="7"/>
      <c r="E5" s="481" t="s">
        <v>143</v>
      </c>
      <c r="F5" s="482"/>
      <c r="G5" s="483" t="s">
        <v>144</v>
      </c>
      <c r="H5" s="484"/>
      <c r="I5" s="485" t="s">
        <v>4</v>
      </c>
      <c r="J5" s="477"/>
    </row>
    <row r="6" spans="1:48" ht="0.75" customHeight="1" thickBot="1">
      <c r="A6" s="8"/>
      <c r="B6" s="9"/>
      <c r="C6" s="10"/>
      <c r="D6" s="10"/>
      <c r="E6" s="10"/>
      <c r="F6" s="10"/>
      <c r="G6" s="162"/>
      <c r="H6" s="162"/>
      <c r="I6" s="10"/>
      <c r="J6" s="90"/>
    </row>
    <row r="7" spans="1:48" s="200" customFormat="1" ht="63.75" customHeight="1" thickBot="1">
      <c r="A7" s="193" t="s">
        <v>41</v>
      </c>
      <c r="B7" s="194"/>
      <c r="C7" s="195"/>
      <c r="D7" s="196"/>
      <c r="E7" s="193" t="s">
        <v>145</v>
      </c>
      <c r="F7" s="197" t="s">
        <v>139</v>
      </c>
      <c r="G7" s="193" t="s">
        <v>146</v>
      </c>
      <c r="H7" s="197" t="s">
        <v>140</v>
      </c>
      <c r="I7" s="198" t="s">
        <v>141</v>
      </c>
      <c r="J7" s="199" t="s">
        <v>142</v>
      </c>
    </row>
    <row r="8" spans="1:48" s="24" customFormat="1" ht="18">
      <c r="A8" s="18" t="s">
        <v>42</v>
      </c>
      <c r="B8" s="19"/>
      <c r="C8" s="20" t="s">
        <v>43</v>
      </c>
      <c r="D8" s="21"/>
      <c r="E8" s="21"/>
      <c r="F8" s="21"/>
      <c r="G8" s="22"/>
      <c r="H8" s="22"/>
      <c r="I8" s="22"/>
      <c r="J8" s="23"/>
    </row>
    <row r="9" spans="1:48" s="24" customFormat="1" ht="0.75" customHeight="1">
      <c r="A9" s="25"/>
      <c r="B9" s="26"/>
      <c r="C9" s="27"/>
      <c r="D9" s="28"/>
      <c r="E9" s="28"/>
      <c r="F9" s="28"/>
      <c r="G9" s="29"/>
      <c r="H9" s="29"/>
      <c r="I9" s="29"/>
      <c r="J9" s="30"/>
    </row>
    <row r="10" spans="1:48" s="192" customFormat="1">
      <c r="A10" s="353"/>
      <c r="B10" s="160">
        <v>1</v>
      </c>
      <c r="C10" s="354" t="s">
        <v>44</v>
      </c>
      <c r="D10" s="34" t="s">
        <v>129</v>
      </c>
      <c r="E10" s="34">
        <v>479</v>
      </c>
      <c r="F10" s="34">
        <f>106+615-242</f>
        <v>479</v>
      </c>
      <c r="G10" s="34">
        <v>69</v>
      </c>
      <c r="H10" s="34">
        <v>69</v>
      </c>
      <c r="I10" s="180">
        <f>E10/G10-100%</f>
        <v>5.9420289855072461</v>
      </c>
      <c r="J10" s="180">
        <f>F10/H10-100%</f>
        <v>5.9420289855072461</v>
      </c>
    </row>
    <row r="11" spans="1:48" s="192" customFormat="1">
      <c r="A11" s="353"/>
      <c r="B11" s="160">
        <v>2</v>
      </c>
      <c r="C11" s="354" t="s">
        <v>132</v>
      </c>
      <c r="D11" s="34" t="s">
        <v>45</v>
      </c>
      <c r="E11" s="36">
        <f>+F11-13683</f>
        <v>5725</v>
      </c>
      <c r="F11" s="36">
        <v>19408</v>
      </c>
      <c r="G11" s="355">
        <v>4765</v>
      </c>
      <c r="H11" s="355">
        <v>21221</v>
      </c>
      <c r="I11" s="180">
        <f>E11/G11-100%</f>
        <v>0.20146904512067154</v>
      </c>
      <c r="J11" s="180">
        <f>F11/H11-100%</f>
        <v>-8.5434239668253142E-2</v>
      </c>
      <c r="AI11" s="356"/>
      <c r="AJ11" s="356"/>
      <c r="AV11" s="356"/>
    </row>
    <row r="12" spans="1:48" s="192" customFormat="1">
      <c r="A12" s="353"/>
      <c r="B12" s="160">
        <v>3</v>
      </c>
      <c r="C12" s="357" t="s">
        <v>46</v>
      </c>
      <c r="D12" s="34" t="s">
        <v>45</v>
      </c>
      <c r="E12" s="34">
        <v>0</v>
      </c>
      <c r="F12" s="34"/>
      <c r="G12" s="36"/>
      <c r="H12" s="36"/>
      <c r="I12" s="46"/>
      <c r="J12" s="181"/>
    </row>
    <row r="13" spans="1:48" s="192" customFormat="1">
      <c r="A13" s="353"/>
      <c r="B13" s="160"/>
      <c r="C13" s="358" t="s">
        <v>47</v>
      </c>
      <c r="D13" s="160" t="s">
        <v>45</v>
      </c>
      <c r="E13" s="34"/>
      <c r="F13" s="34"/>
      <c r="G13" s="36"/>
      <c r="H13" s="36"/>
      <c r="I13" s="46"/>
      <c r="J13" s="159"/>
    </row>
    <row r="14" spans="1:48" s="362" customFormat="1" ht="17.25" customHeight="1">
      <c r="A14" s="359"/>
      <c r="B14" s="360"/>
      <c r="C14" s="361" t="s">
        <v>48</v>
      </c>
      <c r="D14" s="160" t="s">
        <v>45</v>
      </c>
      <c r="E14" s="36">
        <f>SUM(E10:E13)</f>
        <v>6204</v>
      </c>
      <c r="F14" s="36">
        <f>F10+F11</f>
        <v>19887</v>
      </c>
      <c r="G14" s="36">
        <f>SUM(G10:G13)</f>
        <v>4834</v>
      </c>
      <c r="H14" s="36">
        <f>SUM(H10:H13)</f>
        <v>21290</v>
      </c>
      <c r="I14" s="180">
        <f>E14/G14-100%</f>
        <v>0.28340918494000822</v>
      </c>
      <c r="J14" s="180">
        <f>F14/H14-100%</f>
        <v>-6.5899483325504882E-2</v>
      </c>
    </row>
    <row r="15" spans="1:48" s="362" customFormat="1" ht="2.25" hidden="1" customHeight="1">
      <c r="A15" s="359"/>
      <c r="B15" s="360"/>
      <c r="C15" s="361"/>
      <c r="D15" s="160"/>
      <c r="E15" s="34"/>
      <c r="F15" s="34"/>
      <c r="G15" s="36"/>
      <c r="H15" s="36"/>
      <c r="I15" s="46"/>
      <c r="J15" s="159"/>
    </row>
    <row r="16" spans="1:48" s="362" customFormat="1" ht="0.75" hidden="1" customHeight="1">
      <c r="A16" s="359"/>
      <c r="B16" s="360"/>
      <c r="C16" s="363"/>
      <c r="D16" s="160"/>
      <c r="E16" s="34"/>
      <c r="F16" s="34"/>
      <c r="G16" s="36"/>
      <c r="H16" s="36"/>
      <c r="I16" s="46"/>
      <c r="J16" s="159"/>
    </row>
    <row r="17" spans="1:36" s="362" customFormat="1" ht="17.25" hidden="1" customHeight="1">
      <c r="A17" s="359"/>
      <c r="B17" s="360"/>
      <c r="C17" s="363"/>
      <c r="D17" s="160"/>
      <c r="E17" s="34"/>
      <c r="F17" s="34"/>
      <c r="G17" s="36"/>
      <c r="H17" s="36"/>
      <c r="I17" s="46"/>
      <c r="J17" s="159"/>
    </row>
    <row r="18" spans="1:36" s="192" customFormat="1" ht="3" hidden="1" customHeight="1">
      <c r="A18" s="353"/>
      <c r="B18" s="160"/>
      <c r="C18" s="364"/>
      <c r="D18" s="160"/>
      <c r="E18" s="34"/>
      <c r="F18" s="34"/>
      <c r="G18" s="36"/>
      <c r="H18" s="36"/>
      <c r="I18" s="46"/>
      <c r="J18" s="159"/>
    </row>
    <row r="19" spans="1:36" s="192" customFormat="1" hidden="1">
      <c r="A19" s="353"/>
      <c r="B19" s="160"/>
      <c r="C19" s="364"/>
      <c r="D19" s="160"/>
      <c r="E19" s="34"/>
      <c r="F19" s="34"/>
      <c r="G19" s="36"/>
      <c r="H19" s="36"/>
      <c r="I19" s="46"/>
      <c r="J19" s="159"/>
    </row>
    <row r="20" spans="1:36" s="366" customFormat="1" ht="18">
      <c r="A20" s="365" t="s">
        <v>49</v>
      </c>
      <c r="B20" s="160"/>
      <c r="C20" s="363" t="s">
        <v>50</v>
      </c>
      <c r="D20" s="160"/>
      <c r="E20" s="34"/>
      <c r="F20" s="34"/>
      <c r="G20" s="36"/>
      <c r="H20" s="36"/>
      <c r="I20" s="34"/>
      <c r="J20" s="178"/>
    </row>
    <row r="21" spans="1:36" s="192" customFormat="1">
      <c r="A21" s="353"/>
      <c r="B21" s="160">
        <v>1</v>
      </c>
      <c r="C21" s="354" t="s">
        <v>51</v>
      </c>
      <c r="D21" s="34" t="s">
        <v>45</v>
      </c>
      <c r="E21" s="36">
        <f>+E14</f>
        <v>6204</v>
      </c>
      <c r="F21" s="36">
        <f>+F14</f>
        <v>19887</v>
      </c>
      <c r="G21" s="36">
        <v>4834</v>
      </c>
      <c r="H21" s="36">
        <v>21290</v>
      </c>
      <c r="I21" s="180">
        <f t="shared" ref="I21:J23" si="0">E21/G21-100%</f>
        <v>0.28340918494000822</v>
      </c>
      <c r="J21" s="180">
        <f t="shared" si="0"/>
        <v>-6.5899483325504882E-2</v>
      </c>
    </row>
    <row r="22" spans="1:36" s="192" customFormat="1">
      <c r="A22" s="353"/>
      <c r="B22" s="160">
        <v>2</v>
      </c>
      <c r="C22" s="354" t="s">
        <v>52</v>
      </c>
      <c r="D22" s="34" t="s">
        <v>45</v>
      </c>
      <c r="E22" s="36">
        <f>+E21</f>
        <v>6204</v>
      </c>
      <c r="F22" s="36">
        <f>+F21</f>
        <v>19887</v>
      </c>
      <c r="G22" s="36">
        <v>4834</v>
      </c>
      <c r="H22" s="36">
        <v>21290</v>
      </c>
      <c r="I22" s="180">
        <f t="shared" si="0"/>
        <v>0.28340918494000822</v>
      </c>
      <c r="J22" s="180">
        <f t="shared" si="0"/>
        <v>-6.5899483325504882E-2</v>
      </c>
      <c r="AI22" s="192">
        <v>15262.73</v>
      </c>
      <c r="AJ22" s="356">
        <f>F22-AI22</f>
        <v>4624.2700000000004</v>
      </c>
    </row>
    <row r="23" spans="1:36" s="192" customFormat="1">
      <c r="A23" s="353"/>
      <c r="B23" s="160">
        <v>3</v>
      </c>
      <c r="C23" s="354" t="s">
        <v>53</v>
      </c>
      <c r="D23" s="34" t="s">
        <v>45</v>
      </c>
      <c r="E23" s="36">
        <f>'REVENUE DATA '!E34</f>
        <v>5298</v>
      </c>
      <c r="F23" s="36">
        <f>'REVENUE DATA '!F34</f>
        <v>17566</v>
      </c>
      <c r="G23" s="36">
        <v>4431</v>
      </c>
      <c r="H23" s="36">
        <v>19692.349999999999</v>
      </c>
      <c r="I23" s="180">
        <f t="shared" si="0"/>
        <v>0.19566689234935675</v>
      </c>
      <c r="J23" s="180">
        <f t="shared" si="0"/>
        <v>-0.10797847895248658</v>
      </c>
    </row>
    <row r="24" spans="1:36">
      <c r="A24" s="31"/>
      <c r="B24" s="32">
        <v>4</v>
      </c>
      <c r="C24" s="39" t="s">
        <v>54</v>
      </c>
      <c r="D24" s="160" t="s">
        <v>45</v>
      </c>
      <c r="E24" s="36">
        <f>E11-E23</f>
        <v>427</v>
      </c>
      <c r="F24" s="36">
        <f>F21-F23</f>
        <v>2321</v>
      </c>
      <c r="G24" s="36">
        <v>334</v>
      </c>
      <c r="H24" s="36">
        <v>1597.6500000000015</v>
      </c>
      <c r="I24" s="180"/>
      <c r="J24" s="181"/>
    </row>
    <row r="25" spans="1:36" s="24" customFormat="1" ht="18">
      <c r="A25" s="25"/>
      <c r="B25" s="26">
        <v>5</v>
      </c>
      <c r="C25" s="45" t="s">
        <v>55</v>
      </c>
      <c r="D25" s="160" t="s">
        <v>56</v>
      </c>
      <c r="E25" s="367"/>
      <c r="F25" s="367">
        <f>F24/F22</f>
        <v>0.11670940815608186</v>
      </c>
      <c r="G25" s="46"/>
      <c r="H25" s="367">
        <f>H24/H22</f>
        <v>7.504227336777837E-2</v>
      </c>
      <c r="I25" s="180"/>
      <c r="J25" s="181"/>
    </row>
    <row r="26" spans="1:36" ht="0.75" customHeight="1">
      <c r="A26" s="31"/>
      <c r="B26" s="32"/>
      <c r="C26" s="39"/>
      <c r="D26" s="160"/>
      <c r="E26" s="34"/>
      <c r="F26" s="34"/>
      <c r="G26" s="36"/>
      <c r="H26" s="36"/>
      <c r="I26" s="46"/>
      <c r="J26" s="159"/>
    </row>
    <row r="27" spans="1:36" hidden="1">
      <c r="A27" s="31"/>
      <c r="B27" s="32"/>
      <c r="C27" s="39"/>
      <c r="D27" s="160"/>
      <c r="E27" s="34"/>
      <c r="F27" s="34"/>
      <c r="G27" s="36"/>
      <c r="H27" s="36"/>
      <c r="I27" s="46"/>
      <c r="J27" s="159"/>
    </row>
    <row r="28" spans="1:36" ht="18">
      <c r="A28" s="25" t="s">
        <v>57</v>
      </c>
      <c r="B28" s="32"/>
      <c r="C28" s="42" t="s">
        <v>58</v>
      </c>
      <c r="D28" s="160"/>
      <c r="E28" s="34"/>
      <c r="F28" s="34"/>
      <c r="G28" s="36"/>
      <c r="H28" s="36"/>
      <c r="I28" s="46"/>
      <c r="J28" s="159"/>
    </row>
    <row r="29" spans="1:36" ht="15.75">
      <c r="A29" s="31"/>
      <c r="B29" s="32">
        <v>1</v>
      </c>
      <c r="C29" s="47" t="s">
        <v>59</v>
      </c>
      <c r="D29" s="34" t="s">
        <v>128</v>
      </c>
      <c r="E29" s="46">
        <f>E31-E30</f>
        <v>3426.4700000000003</v>
      </c>
      <c r="F29" s="46">
        <f>F31-F30</f>
        <v>11605.38</v>
      </c>
      <c r="G29" s="46">
        <v>2999.75</v>
      </c>
      <c r="H29" s="46">
        <v>13597.982053664175</v>
      </c>
      <c r="I29" s="180">
        <f t="shared" ref="I29:J34" si="1">E29/G29-100%</f>
        <v>0.14225185432119347</v>
      </c>
      <c r="J29" s="180">
        <f t="shared" si="1"/>
        <v>-0.14653659975431721</v>
      </c>
    </row>
    <row r="30" spans="1:36" ht="15.75">
      <c r="A30" s="31"/>
      <c r="B30" s="32">
        <v>2</v>
      </c>
      <c r="C30" s="47" t="s">
        <v>61</v>
      </c>
      <c r="D30" s="34" t="s">
        <v>128</v>
      </c>
      <c r="E30" s="46">
        <v>7.39</v>
      </c>
      <c r="F30" s="46">
        <f>21.38+70.39</f>
        <v>91.77</v>
      </c>
      <c r="G30" s="46">
        <v>15.88</v>
      </c>
      <c r="H30" s="46">
        <v>55.6738</v>
      </c>
      <c r="I30" s="180">
        <f t="shared" si="1"/>
        <v>-0.5346347607052897</v>
      </c>
      <c r="J30" s="180">
        <f t="shared" si="1"/>
        <v>0.64835164835164827</v>
      </c>
    </row>
    <row r="31" spans="1:36" ht="15.75">
      <c r="A31" s="31"/>
      <c r="B31" s="32">
        <v>3</v>
      </c>
      <c r="C31" s="39" t="s">
        <v>62</v>
      </c>
      <c r="D31" s="160" t="s">
        <v>60</v>
      </c>
      <c r="E31" s="46">
        <f>'REVENUE DATA '!E54</f>
        <v>3433.86</v>
      </c>
      <c r="F31" s="46">
        <f>'REVENUE DATA '!F54</f>
        <v>11697.15</v>
      </c>
      <c r="G31" s="46">
        <v>3015.63</v>
      </c>
      <c r="H31" s="46">
        <v>13653.655853664175</v>
      </c>
      <c r="I31" s="180">
        <f t="shared" si="1"/>
        <v>0.13868743844569797</v>
      </c>
      <c r="J31" s="180">
        <f t="shared" si="1"/>
        <v>-0.14329538364181893</v>
      </c>
      <c r="K31" s="38"/>
    </row>
    <row r="32" spans="1:36" ht="15.75">
      <c r="A32" s="31"/>
      <c r="B32" s="32">
        <v>4</v>
      </c>
      <c r="C32" s="47" t="s">
        <v>63</v>
      </c>
      <c r="D32" s="34" t="s">
        <v>128</v>
      </c>
      <c r="E32" s="46">
        <f>+E34-E33</f>
        <v>3819.678515000001</v>
      </c>
      <c r="F32" s="46">
        <f>+F34-F33</f>
        <v>12068.378515</v>
      </c>
      <c r="G32" s="46">
        <v>2945.08</v>
      </c>
      <c r="H32" s="46">
        <v>13410.407607395784</v>
      </c>
      <c r="I32" s="180">
        <f t="shared" si="1"/>
        <v>0.29696935736890029</v>
      </c>
      <c r="J32" s="180">
        <f t="shared" si="1"/>
        <v>-0.10007369885279704</v>
      </c>
    </row>
    <row r="33" spans="1:30" ht="15.75">
      <c r="A33" s="31"/>
      <c r="B33" s="32">
        <v>5</v>
      </c>
      <c r="C33" s="47" t="s">
        <v>64</v>
      </c>
      <c r="D33" s="34" t="s">
        <v>128</v>
      </c>
      <c r="E33" s="46">
        <v>1.23</v>
      </c>
      <c r="F33" s="46">
        <f>3.02+1.23</f>
        <v>4.25</v>
      </c>
      <c r="G33" s="46">
        <v>2.1</v>
      </c>
      <c r="H33" s="46">
        <v>7.0400000000000009</v>
      </c>
      <c r="I33" s="180">
        <f t="shared" si="1"/>
        <v>-0.41428571428571437</v>
      </c>
      <c r="J33" s="180">
        <f t="shared" si="1"/>
        <v>-0.39630681818181823</v>
      </c>
    </row>
    <row r="34" spans="1:30" ht="15.75">
      <c r="A34" s="31"/>
      <c r="B34" s="32">
        <v>6</v>
      </c>
      <c r="C34" s="39" t="s">
        <v>65</v>
      </c>
      <c r="D34" s="160" t="s">
        <v>60</v>
      </c>
      <c r="E34" s="46">
        <f>+F34-8251.72</f>
        <v>3820.908515000001</v>
      </c>
      <c r="F34" s="46">
        <f>F31*F35</f>
        <v>12072.628515</v>
      </c>
      <c r="G34" s="46">
        <f>G31*G35</f>
        <v>2947.18</v>
      </c>
      <c r="H34" s="46">
        <f>H31*H35</f>
        <v>13417.447607395785</v>
      </c>
      <c r="I34" s="180">
        <f t="shared" si="1"/>
        <v>0.29646255573124169</v>
      </c>
      <c r="J34" s="180">
        <f t="shared" si="1"/>
        <v>-0.1002291293952593</v>
      </c>
    </row>
    <row r="35" spans="1:30" s="24" customFormat="1" ht="35.25" customHeight="1" thickBot="1">
      <c r="A35" s="49"/>
      <c r="B35" s="50">
        <v>7</v>
      </c>
      <c r="C35" s="51" t="s">
        <v>66</v>
      </c>
      <c r="D35" s="182" t="s">
        <v>56</v>
      </c>
      <c r="E35" s="52">
        <f>+E34/E31</f>
        <v>1.1127152868783237</v>
      </c>
      <c r="F35" s="52">
        <v>1.0321</v>
      </c>
      <c r="G35" s="52">
        <v>0.97730159203881106</v>
      </c>
      <c r="H35" s="52">
        <v>0.98270000000000002</v>
      </c>
      <c r="I35" s="180">
        <f>E35/G35-100%</f>
        <v>0.13855875805647422</v>
      </c>
      <c r="J35" s="183">
        <f>J34/J31</f>
        <v>0.69945818803062054</v>
      </c>
      <c r="K35" s="24">
        <v>12072.628515</v>
      </c>
      <c r="AD35" s="179"/>
    </row>
    <row r="36" spans="1:30" ht="37.5" hidden="1" customHeight="1">
      <c r="A36" s="480"/>
      <c r="B36" s="480"/>
      <c r="C36" s="480"/>
      <c r="D36" s="480"/>
      <c r="E36" s="480"/>
      <c r="F36" s="480"/>
      <c r="G36" s="480"/>
      <c r="H36" s="480"/>
      <c r="I36" s="480"/>
      <c r="J36" s="480"/>
    </row>
    <row r="38" spans="1:30" ht="22.5">
      <c r="A38" s="474" t="s">
        <v>38</v>
      </c>
      <c r="B38" s="474"/>
      <c r="C38" s="474"/>
      <c r="D38" s="474"/>
      <c r="E38" s="474"/>
      <c r="F38" s="474"/>
      <c r="G38" s="474"/>
      <c r="H38" s="474"/>
    </row>
    <row r="40" spans="1:30" ht="23.25" thickBot="1">
      <c r="A40" s="474" t="s">
        <v>67</v>
      </c>
      <c r="B40" s="474"/>
      <c r="C40" s="474"/>
      <c r="D40" s="474"/>
      <c r="E40" s="474"/>
      <c r="F40" s="474"/>
      <c r="G40" s="474"/>
      <c r="H40" s="474"/>
      <c r="I40" s="486" t="s">
        <v>68</v>
      </c>
      <c r="J40" s="486"/>
    </row>
    <row r="41" spans="1:30" ht="0.75" customHeight="1" thickBot="1">
      <c r="A41" s="53"/>
      <c r="B41" s="54"/>
      <c r="C41" s="54"/>
      <c r="D41" s="55"/>
      <c r="E41" s="55"/>
      <c r="F41" s="55"/>
      <c r="G41" s="54"/>
      <c r="H41" s="54"/>
      <c r="I41" s="56"/>
      <c r="J41" s="57"/>
    </row>
    <row r="42" spans="1:30" ht="15.75" customHeight="1" thickBot="1">
      <c r="A42" s="58"/>
      <c r="B42" s="59"/>
      <c r="C42" s="60"/>
      <c r="D42" s="60"/>
      <c r="E42" s="481" t="str">
        <f>E5</f>
        <v>Current Year 20-21</v>
      </c>
      <c r="F42" s="482"/>
      <c r="G42" s="481" t="str">
        <f>G5</f>
        <v>Previous  Year 19-20</v>
      </c>
      <c r="H42" s="482"/>
      <c r="I42" s="476" t="s">
        <v>4</v>
      </c>
      <c r="J42" s="477"/>
    </row>
    <row r="43" spans="1:30" ht="0.75" customHeight="1" thickBot="1">
      <c r="A43" s="61"/>
      <c r="B43" s="62"/>
      <c r="C43" s="63"/>
      <c r="D43" s="63"/>
      <c r="E43" s="10"/>
      <c r="F43" s="10"/>
      <c r="G43" s="11"/>
      <c r="H43" s="11"/>
      <c r="I43" s="12"/>
      <c r="J43" s="13"/>
    </row>
    <row r="44" spans="1:30" ht="67.5" customHeight="1" thickBot="1">
      <c r="A44" s="64"/>
      <c r="B44" s="6"/>
      <c r="C44" s="65"/>
      <c r="D44" s="6"/>
      <c r="E44" s="14" t="str">
        <f t="shared" ref="E44:J44" si="2">E7</f>
        <v>4th Quarter Jan'21 to Mar'21</v>
      </c>
      <c r="F44" s="14" t="str">
        <f t="shared" si="2"/>
        <v xml:space="preserve">Cumulative Up to 4th quarter </v>
      </c>
      <c r="G44" s="14" t="str">
        <f>G7</f>
        <v>4th Quarter  Jan'20 to March'21</v>
      </c>
      <c r="H44" s="16" t="str">
        <f>H7</f>
        <v>Cumulative Up to 4th quarter</v>
      </c>
      <c r="I44" s="16" t="str">
        <f t="shared" si="2"/>
        <v>4th Quarter</v>
      </c>
      <c r="J44" s="17" t="str">
        <f t="shared" si="2"/>
        <v>Cumulative up to 4th Qtr</v>
      </c>
    </row>
    <row r="45" spans="1:30" ht="18">
      <c r="A45" s="18" t="s">
        <v>42</v>
      </c>
      <c r="B45" s="66"/>
      <c r="C45" s="20" t="s">
        <v>69</v>
      </c>
      <c r="D45" s="66"/>
      <c r="E45" s="66"/>
      <c r="F45" s="66"/>
      <c r="G45" s="34"/>
      <c r="H45" s="34"/>
      <c r="I45" s="35"/>
      <c r="J45" s="35"/>
    </row>
    <row r="46" spans="1:30" ht="15.75">
      <c r="A46" s="31"/>
      <c r="B46" s="32">
        <v>1</v>
      </c>
      <c r="C46" s="33" t="s">
        <v>70</v>
      </c>
      <c r="D46" s="151" t="s">
        <v>71</v>
      </c>
      <c r="E46" s="46">
        <f>E66/E14*10</f>
        <v>5.3922791747259815</v>
      </c>
      <c r="F46" s="46">
        <f>F66/F14*10</f>
        <v>5.6309649519786786</v>
      </c>
      <c r="G46" s="46">
        <f>G66/G14*10</f>
        <v>6.1604675217211398</v>
      </c>
      <c r="H46" s="46">
        <f>H66/H14*10</f>
        <v>6.1319680601221229</v>
      </c>
      <c r="I46" s="37">
        <f>(+E46-G46)/G46</f>
        <v>-0.1246964364776877</v>
      </c>
      <c r="J46" s="37">
        <f>(+F46-H46)/H46</f>
        <v>-8.1703476474642045E-2</v>
      </c>
    </row>
    <row r="47" spans="1:30" ht="15.75">
      <c r="A47" s="31"/>
      <c r="B47" s="32">
        <v>2</v>
      </c>
      <c r="C47" s="145" t="s">
        <v>72</v>
      </c>
      <c r="D47" s="151" t="s">
        <v>71</v>
      </c>
      <c r="E47" s="67"/>
      <c r="F47" s="67"/>
      <c r="G47" s="34"/>
      <c r="H47" s="34"/>
      <c r="I47" s="40"/>
      <c r="J47" s="40"/>
    </row>
    <row r="48" spans="1:30" ht="15.75">
      <c r="A48" s="31"/>
      <c r="B48" s="32">
        <v>3</v>
      </c>
      <c r="C48" s="145" t="s">
        <v>73</v>
      </c>
      <c r="D48" s="151" t="s">
        <v>71</v>
      </c>
      <c r="E48" s="67"/>
      <c r="F48" s="67"/>
      <c r="G48" s="34"/>
      <c r="H48" s="34"/>
      <c r="I48" s="40"/>
      <c r="J48" s="40"/>
    </row>
    <row r="49" spans="1:10" ht="15.75">
      <c r="A49" s="31"/>
      <c r="B49" s="32">
        <v>4</v>
      </c>
      <c r="C49" s="145" t="s">
        <v>74</v>
      </c>
      <c r="D49" s="151" t="s">
        <v>71</v>
      </c>
      <c r="E49" s="67"/>
      <c r="F49" s="67"/>
      <c r="G49" s="34"/>
      <c r="H49" s="34"/>
      <c r="I49" s="40"/>
      <c r="J49" s="40"/>
    </row>
    <row r="50" spans="1:10" ht="15.75">
      <c r="A50" s="31"/>
      <c r="B50" s="32">
        <v>5</v>
      </c>
      <c r="C50" s="145" t="s">
        <v>75</v>
      </c>
      <c r="D50" s="151" t="s">
        <v>71</v>
      </c>
      <c r="E50" s="67"/>
      <c r="F50" s="67"/>
      <c r="G50" s="34"/>
      <c r="H50" s="34"/>
      <c r="I50" s="40"/>
      <c r="J50" s="40"/>
    </row>
    <row r="51" spans="1:10" s="24" customFormat="1" ht="18">
      <c r="A51" s="25"/>
      <c r="B51" s="152">
        <v>6</v>
      </c>
      <c r="C51" s="153" t="s">
        <v>76</v>
      </c>
      <c r="D51" s="154" t="s">
        <v>71</v>
      </c>
      <c r="E51" s="144">
        <f>SUM(E46:E50)</f>
        <v>5.3922791747259815</v>
      </c>
      <c r="F51" s="144">
        <f>SUM(F46:F50)</f>
        <v>5.6309649519786786</v>
      </c>
      <c r="G51" s="144">
        <f>SUM(G46:G50)</f>
        <v>6.1604675217211398</v>
      </c>
      <c r="H51" s="144">
        <f>SUM(H46:H50)</f>
        <v>6.1319680601221229</v>
      </c>
      <c r="I51" s="150">
        <f>(+E51-G51)/G51</f>
        <v>-0.1246964364776877</v>
      </c>
      <c r="J51" s="150">
        <f>(+F51-H51)/H51</f>
        <v>-8.1703476474642045E-2</v>
      </c>
    </row>
    <row r="52" spans="1:10" s="24" customFormat="1" ht="3" hidden="1" customHeight="1">
      <c r="A52" s="25"/>
      <c r="B52" s="26"/>
      <c r="C52" s="68"/>
      <c r="D52" s="32"/>
      <c r="E52" s="32"/>
      <c r="F52" s="32"/>
      <c r="G52" s="34"/>
      <c r="H52" s="34"/>
      <c r="I52" s="40"/>
      <c r="J52" s="40"/>
    </row>
    <row r="53" spans="1:10" s="24" customFormat="1" ht="18">
      <c r="A53" s="25" t="s">
        <v>49</v>
      </c>
      <c r="B53" s="26"/>
      <c r="C53" s="68" t="s">
        <v>25</v>
      </c>
      <c r="D53" s="32"/>
      <c r="E53" s="32"/>
      <c r="F53" s="32"/>
      <c r="G53" s="34"/>
      <c r="H53" s="34"/>
      <c r="I53" s="37"/>
      <c r="J53" s="40"/>
    </row>
    <row r="54" spans="1:10" ht="15.75">
      <c r="A54" s="31"/>
      <c r="B54" s="32">
        <v>1</v>
      </c>
      <c r="C54" s="145" t="s">
        <v>8</v>
      </c>
      <c r="D54" s="151" t="s">
        <v>71</v>
      </c>
      <c r="E54" s="46">
        <f>'REVENUE DATA '!E60/100</f>
        <v>6.5866293314665736</v>
      </c>
      <c r="F54" s="46">
        <f>'REVENUE DATA '!F60/100</f>
        <v>7.2665451123397249</v>
      </c>
      <c r="G54" s="46">
        <f>'REVENUE DATA '!G60/100</f>
        <v>7.385653104925054</v>
      </c>
      <c r="H54" s="46">
        <f>'REVENUE DATA '!H60/100</f>
        <v>7.5968526536679883</v>
      </c>
      <c r="I54" s="37">
        <f t="shared" ref="I54:J56" si="3">(+E54-G54)/G54</f>
        <v>-0.10818593320144684</v>
      </c>
      <c r="J54" s="37">
        <f t="shared" si="3"/>
        <v>-4.3479524532936818E-2</v>
      </c>
    </row>
    <row r="55" spans="1:10" ht="15.75">
      <c r="A55" s="31"/>
      <c r="B55" s="32">
        <v>2</v>
      </c>
      <c r="C55" s="145" t="s">
        <v>77</v>
      </c>
      <c r="D55" s="151" t="s">
        <v>71</v>
      </c>
      <c r="E55" s="46">
        <f>'REVENUE DATA '!E67/100</f>
        <v>6.358295780417861</v>
      </c>
      <c r="F55" s="46">
        <f>'REVENUE DATA '!F67/100</f>
        <v>6.0892002206287916</v>
      </c>
      <c r="G55" s="46">
        <f>'REVENUE DATA '!G67/100</f>
        <v>6.3831057354662502</v>
      </c>
      <c r="H55" s="46">
        <f>'REVENUE DATA '!H67/100</f>
        <v>6.3365224252244694</v>
      </c>
      <c r="I55" s="37">
        <f>(+E55-G55)/G55</f>
        <v>-3.8868156155613003E-3</v>
      </c>
      <c r="J55" s="37">
        <f>(+F55-H55)/H55</f>
        <v>-3.9031220596827045E-2</v>
      </c>
    </row>
    <row r="56" spans="1:10" s="24" customFormat="1" ht="22.5" customHeight="1" thickBot="1">
      <c r="A56" s="49"/>
      <c r="B56" s="155">
        <v>3</v>
      </c>
      <c r="C56" s="156" t="s">
        <v>78</v>
      </c>
      <c r="D56" s="154" t="s">
        <v>71</v>
      </c>
      <c r="E56" s="157">
        <f>'REVENUE DATA '!E68/100</f>
        <v>6.4814269535673841</v>
      </c>
      <c r="F56" s="157">
        <f>'REVENUE DATA '!F68/100</f>
        <v>6.6589718774906066</v>
      </c>
      <c r="G56" s="157">
        <f>'REVENUE DATA '!G68/100</f>
        <v>6.8057549085985105</v>
      </c>
      <c r="H56" s="157">
        <f>'REVENUE DATA '!H68/100</f>
        <v>6.9334822170356389</v>
      </c>
      <c r="I56" s="150">
        <f t="shared" si="3"/>
        <v>-4.765495663403406E-2</v>
      </c>
      <c r="J56" s="150">
        <f t="shared" si="3"/>
        <v>-3.9591987251450293E-2</v>
      </c>
    </row>
    <row r="57" spans="1:10" ht="1.5" customHeight="1" thickBot="1">
      <c r="A57" s="70"/>
      <c r="B57" s="71"/>
      <c r="C57" s="72"/>
      <c r="D57" s="72"/>
      <c r="E57" s="72"/>
      <c r="F57" s="72"/>
      <c r="G57" s="73"/>
      <c r="H57" s="73"/>
      <c r="I57" s="73"/>
      <c r="J57" s="74"/>
    </row>
    <row r="58" spans="1:10" ht="29.25" customHeight="1">
      <c r="C58" s="478"/>
      <c r="D58" s="478"/>
      <c r="E58" s="478"/>
      <c r="F58" s="478"/>
      <c r="G58" s="478"/>
      <c r="H58" s="478"/>
      <c r="I58" s="478"/>
      <c r="J58" s="478"/>
    </row>
    <row r="59" spans="1:10" ht="22.5">
      <c r="A59" s="474" t="s">
        <v>38</v>
      </c>
      <c r="B59" s="474"/>
      <c r="C59" s="474"/>
      <c r="D59" s="474"/>
      <c r="E59" s="474"/>
      <c r="F59" s="474"/>
      <c r="G59" s="474"/>
      <c r="H59" s="474"/>
    </row>
    <row r="60" spans="1:10" ht="1.5" hidden="1" customHeight="1"/>
    <row r="61" spans="1:10" ht="22.5">
      <c r="A61" s="474" t="s">
        <v>79</v>
      </c>
      <c r="B61" s="474"/>
      <c r="C61" s="474"/>
      <c r="D61" s="474"/>
      <c r="E61" s="474"/>
      <c r="F61" s="474"/>
      <c r="G61" s="474"/>
      <c r="H61" s="474"/>
      <c r="I61" s="479" t="s">
        <v>80</v>
      </c>
      <c r="J61" s="479"/>
    </row>
    <row r="62" spans="1:10" ht="0.75" customHeight="1" thickBot="1">
      <c r="A62" s="4"/>
      <c r="B62" s="4"/>
      <c r="C62" s="4"/>
      <c r="D62" s="2"/>
      <c r="E62" s="2"/>
      <c r="F62" s="2"/>
      <c r="G62" s="4"/>
      <c r="H62" s="4"/>
      <c r="I62" s="5"/>
      <c r="J62" s="5"/>
    </row>
    <row r="63" spans="1:10" ht="15.75" customHeight="1" thickBot="1">
      <c r="A63" s="75"/>
      <c r="B63" s="55"/>
      <c r="C63" s="76"/>
      <c r="D63" s="76"/>
      <c r="E63" s="481" t="str">
        <f>E42</f>
        <v>Current Year 20-21</v>
      </c>
      <c r="F63" s="482"/>
      <c r="G63" s="481" t="str">
        <f>G42</f>
        <v>Previous  Year 19-20</v>
      </c>
      <c r="H63" s="482"/>
      <c r="I63" s="476" t="s">
        <v>4</v>
      </c>
      <c r="J63" s="477"/>
    </row>
    <row r="64" spans="1:10" ht="0.75" customHeight="1" thickBot="1">
      <c r="A64" s="61"/>
      <c r="B64" s="62"/>
      <c r="C64" s="63"/>
      <c r="D64" s="63"/>
      <c r="E64" s="10"/>
      <c r="F64" s="10"/>
      <c r="G64" s="11"/>
      <c r="H64" s="11"/>
      <c r="I64" s="12"/>
      <c r="J64" s="13"/>
    </row>
    <row r="65" spans="1:41" ht="64.5" customHeight="1" thickBot="1">
      <c r="A65" s="6"/>
      <c r="B65" s="77"/>
      <c r="C65" s="15"/>
      <c r="D65" s="7"/>
      <c r="E65" s="14" t="str">
        <f>E7</f>
        <v>4th Quarter Jan'21 to Mar'21</v>
      </c>
      <c r="F65" s="14" t="str">
        <f>F7</f>
        <v xml:space="preserve">Cumulative Up to 4th quarter </v>
      </c>
      <c r="G65" s="16" t="str">
        <f>G7</f>
        <v>4th Quarter  Jan'20 to March'21</v>
      </c>
      <c r="H65" s="16" t="str">
        <f>H7</f>
        <v>Cumulative Up to 4th quarter</v>
      </c>
      <c r="I65" s="16" t="str">
        <f>I44</f>
        <v>4th Quarter</v>
      </c>
      <c r="J65" s="17" t="str">
        <f>J44</f>
        <v>Cumulative up to 4th Qtr</v>
      </c>
      <c r="AM65" s="38"/>
    </row>
    <row r="66" spans="1:41" ht="21" customHeight="1">
      <c r="A66" s="78"/>
      <c r="B66" s="79">
        <v>1</v>
      </c>
      <c r="C66" s="146" t="s">
        <v>133</v>
      </c>
      <c r="D66" s="132" t="s">
        <v>128</v>
      </c>
      <c r="E66" s="158">
        <f>+F66-7852.93</f>
        <v>3345.369999999999</v>
      </c>
      <c r="F66" s="158">
        <v>11198.3</v>
      </c>
      <c r="G66" s="46">
        <v>2977.9699999999993</v>
      </c>
      <c r="H66" s="46">
        <v>13054.96</v>
      </c>
      <c r="I66" s="37">
        <f>E66/G66-100%</f>
        <v>0.12337263303525536</v>
      </c>
      <c r="J66" s="37">
        <f>F66/H66-100%</f>
        <v>-0.14221874291457037</v>
      </c>
      <c r="AJ66" s="38"/>
    </row>
    <row r="67" spans="1:41" ht="21" customHeight="1">
      <c r="A67" s="32"/>
      <c r="B67" s="80">
        <v>2</v>
      </c>
      <c r="C67" s="147" t="s">
        <v>81</v>
      </c>
      <c r="D67" s="35" t="s">
        <v>128</v>
      </c>
      <c r="E67" s="46">
        <f>+F67-316.72</f>
        <v>181.89999999999998</v>
      </c>
      <c r="F67" s="158">
        <v>498.62</v>
      </c>
      <c r="G67" s="40">
        <v>115.98</v>
      </c>
      <c r="H67" s="158">
        <v>492.79</v>
      </c>
      <c r="I67" s="37">
        <f t="shared" ref="I67:J83" si="4">E67/G67-100%</f>
        <v>0.56837385756164838</v>
      </c>
      <c r="J67" s="37">
        <f t="shared" si="4"/>
        <v>1.1830597211794025E-2</v>
      </c>
      <c r="K67" s="38">
        <v>376.80990000000003</v>
      </c>
      <c r="L67" s="38">
        <f>+H67-K67</f>
        <v>115.98009999999999</v>
      </c>
    </row>
    <row r="68" spans="1:41" ht="21" customHeight="1">
      <c r="A68" s="32"/>
      <c r="B68" s="80">
        <v>3</v>
      </c>
      <c r="C68" s="147" t="s">
        <v>82</v>
      </c>
      <c r="D68" s="35" t="s">
        <v>128</v>
      </c>
      <c r="E68" s="46">
        <f>+F68-87.72</f>
        <v>6.9200000000000017</v>
      </c>
      <c r="F68" s="158">
        <v>94.64</v>
      </c>
      <c r="G68" s="40">
        <v>16.09</v>
      </c>
      <c r="H68" s="158">
        <v>110.05</v>
      </c>
      <c r="I68" s="37">
        <f t="shared" si="4"/>
        <v>-0.56991920447482891</v>
      </c>
      <c r="J68" s="37">
        <f t="shared" si="4"/>
        <v>-0.14002726033621082</v>
      </c>
      <c r="K68" s="38">
        <v>93.96</v>
      </c>
      <c r="L68" s="38">
        <f>+H68-K68</f>
        <v>16.090000000000003</v>
      </c>
      <c r="AO68" s="38"/>
    </row>
    <row r="69" spans="1:41" ht="21" customHeight="1">
      <c r="A69" s="32"/>
      <c r="B69" s="80">
        <v>4</v>
      </c>
      <c r="C69" s="147" t="s">
        <v>83</v>
      </c>
      <c r="D69" s="35" t="s">
        <v>128</v>
      </c>
      <c r="E69" s="46">
        <f>+F69-49.65</f>
        <v>14.470000000000006</v>
      </c>
      <c r="F69" s="158">
        <v>64.12</v>
      </c>
      <c r="G69" s="40">
        <v>21.130769999999998</v>
      </c>
      <c r="H69" s="158">
        <v>66.83</v>
      </c>
      <c r="I69" s="37">
        <f t="shared" si="4"/>
        <v>-0.3152166248556012</v>
      </c>
      <c r="J69" s="37">
        <f t="shared" si="4"/>
        <v>-4.0550650905281982E-2</v>
      </c>
      <c r="K69" s="38">
        <v>45.69923</v>
      </c>
    </row>
    <row r="70" spans="1:41" ht="21" customHeight="1">
      <c r="A70" s="32"/>
      <c r="B70" s="80">
        <v>5</v>
      </c>
      <c r="C70" s="147" t="s">
        <v>84</v>
      </c>
      <c r="D70" s="35" t="s">
        <v>128</v>
      </c>
      <c r="E70" s="46">
        <f>+F70-251.62</f>
        <v>87.54000000000002</v>
      </c>
      <c r="F70" s="158">
        <v>339.16</v>
      </c>
      <c r="G70" s="40">
        <v>79.66</v>
      </c>
      <c r="H70" s="158">
        <v>312.63</v>
      </c>
      <c r="I70" s="37">
        <f t="shared" si="4"/>
        <v>9.8920411749937598E-2</v>
      </c>
      <c r="J70" s="37">
        <f t="shared" si="4"/>
        <v>8.4860697949653119E-2</v>
      </c>
      <c r="K70" s="38">
        <v>232.97</v>
      </c>
    </row>
    <row r="71" spans="1:41" ht="21" customHeight="1">
      <c r="A71" s="32"/>
      <c r="B71" s="80">
        <v>6</v>
      </c>
      <c r="C71" s="147" t="s">
        <v>85</v>
      </c>
      <c r="D71" s="35" t="s">
        <v>128</v>
      </c>
      <c r="E71" s="46">
        <f>+F71-84.75</f>
        <v>10.230000000000004</v>
      </c>
      <c r="F71" s="158">
        <v>94.98</v>
      </c>
      <c r="G71" s="40">
        <v>18.39</v>
      </c>
      <c r="H71" s="158">
        <v>90.82</v>
      </c>
      <c r="I71" s="37">
        <f t="shared" si="4"/>
        <v>-0.44371941272430648</v>
      </c>
      <c r="J71" s="37">
        <f t="shared" si="4"/>
        <v>4.5804888791015408E-2</v>
      </c>
      <c r="K71" s="38">
        <v>72.430850000000007</v>
      </c>
      <c r="L71" s="38">
        <f>+H71-K71</f>
        <v>18.389149999999987</v>
      </c>
      <c r="AJ71" s="38"/>
      <c r="AN71" s="38"/>
    </row>
    <row r="72" spans="1:41" ht="21" customHeight="1">
      <c r="A72" s="32"/>
      <c r="B72" s="80" t="s">
        <v>86</v>
      </c>
      <c r="C72" s="147" t="s">
        <v>1272</v>
      </c>
      <c r="D72" s="35" t="s">
        <v>128</v>
      </c>
      <c r="E72" s="46">
        <v>33.68</v>
      </c>
      <c r="F72" s="158">
        <v>33.68</v>
      </c>
      <c r="G72" s="35">
        <v>55.23</v>
      </c>
      <c r="H72" s="158">
        <v>55.23</v>
      </c>
      <c r="I72" s="180">
        <v>0</v>
      </c>
      <c r="J72" s="180">
        <v>0</v>
      </c>
      <c r="K72" s="38">
        <v>0</v>
      </c>
    </row>
    <row r="73" spans="1:41" ht="21" customHeight="1">
      <c r="A73" s="32"/>
      <c r="B73" s="80">
        <v>7</v>
      </c>
      <c r="C73" s="148" t="s">
        <v>87</v>
      </c>
      <c r="D73" s="35" t="s">
        <v>128</v>
      </c>
      <c r="E73" s="410">
        <f>+F73-78.57</f>
        <v>-150.16</v>
      </c>
      <c r="F73" s="411">
        <v>-71.59</v>
      </c>
      <c r="G73" s="412">
        <v>-84.56</v>
      </c>
      <c r="H73" s="411">
        <v>-84.56</v>
      </c>
      <c r="I73" s="180">
        <v>0</v>
      </c>
      <c r="J73" s="180">
        <v>0</v>
      </c>
      <c r="K73" s="38">
        <v>0</v>
      </c>
      <c r="AL73" s="38"/>
    </row>
    <row r="74" spans="1:41" s="192" customFormat="1" ht="21" customHeight="1">
      <c r="A74" s="160"/>
      <c r="B74" s="184">
        <v>8</v>
      </c>
      <c r="C74" s="185" t="s">
        <v>88</v>
      </c>
      <c r="D74" s="160" t="s">
        <v>60</v>
      </c>
      <c r="E74" s="190">
        <f>SUM(E66:E73)</f>
        <v>3529.9499999999989</v>
      </c>
      <c r="F74" s="190">
        <f>SUM(F66:F73)</f>
        <v>12251.91</v>
      </c>
      <c r="G74" s="48">
        <f>SUM(G66:G73)</f>
        <v>3199.8907699999995</v>
      </c>
      <c r="H74" s="48">
        <f>SUM(H66:H73)</f>
        <v>14098.749999999998</v>
      </c>
      <c r="I74" s="191">
        <f t="shared" si="4"/>
        <v>0.10314703023440996</v>
      </c>
      <c r="J74" s="191">
        <f t="shared" si="4"/>
        <v>-0.13099317315364822</v>
      </c>
      <c r="K74" s="38">
        <v>10898.859979999997</v>
      </c>
      <c r="L74" s="201">
        <f>+H74-14098.75</f>
        <v>0</v>
      </c>
      <c r="AJ74" s="201"/>
      <c r="AM74" s="201"/>
    </row>
    <row r="75" spans="1:41" s="24" customFormat="1" ht="21" customHeight="1">
      <c r="A75" s="26"/>
      <c r="B75" s="80">
        <v>9</v>
      </c>
      <c r="C75" s="147" t="s">
        <v>89</v>
      </c>
      <c r="D75" s="35" t="s">
        <v>128</v>
      </c>
      <c r="E75" s="46">
        <f>+F75-355</f>
        <v>303.49609999999996</v>
      </c>
      <c r="F75" s="46">
        <f>706.87-0.0439+108.38-156.71</f>
        <v>658.49609999999996</v>
      </c>
      <c r="G75" s="34">
        <v>432.28</v>
      </c>
      <c r="H75" s="46">
        <f>771.88-0.86+156.7-169.58</f>
        <v>758.14</v>
      </c>
      <c r="I75" s="180">
        <f t="shared" si="4"/>
        <v>-0.29791778476913122</v>
      </c>
      <c r="J75" s="180">
        <f t="shared" si="4"/>
        <v>-0.13143205740364583</v>
      </c>
      <c r="K75" s="38">
        <v>325.86</v>
      </c>
      <c r="AD75" s="179"/>
      <c r="AM75" s="179"/>
    </row>
    <row r="76" spans="1:41" s="24" customFormat="1" ht="21" customHeight="1">
      <c r="A76" s="26"/>
      <c r="B76" s="80">
        <v>10</v>
      </c>
      <c r="C76" s="147" t="s">
        <v>90</v>
      </c>
      <c r="D76" s="35" t="s">
        <v>128</v>
      </c>
      <c r="E76" s="46">
        <v>0</v>
      </c>
      <c r="F76" s="46">
        <v>0</v>
      </c>
      <c r="G76" s="35">
        <v>0</v>
      </c>
      <c r="H76" s="35">
        <v>0</v>
      </c>
      <c r="I76" s="180">
        <v>0</v>
      </c>
      <c r="J76" s="180">
        <v>0</v>
      </c>
      <c r="K76" s="38">
        <v>0</v>
      </c>
    </row>
    <row r="77" spans="1:41" s="24" customFormat="1" ht="21.75" customHeight="1">
      <c r="A77" s="26"/>
      <c r="B77" s="80">
        <v>11</v>
      </c>
      <c r="C77" s="147" t="s">
        <v>91</v>
      </c>
      <c r="D77" s="35" t="s">
        <v>128</v>
      </c>
      <c r="E77" s="46">
        <f>+F77-72.37</f>
        <v>413.70999999999992</v>
      </c>
      <c r="F77" s="46">
        <f>520.01-57.04+183.44-160.33</f>
        <v>486.07999999999993</v>
      </c>
      <c r="G77" s="46">
        <v>222.14</v>
      </c>
      <c r="H77" s="46">
        <f>391.23-44.51-154.03+187.57</f>
        <v>380.26</v>
      </c>
      <c r="I77" s="180">
        <f t="shared" si="4"/>
        <v>0.86238408211038053</v>
      </c>
      <c r="J77" s="180">
        <f t="shared" si="4"/>
        <v>0.27828327986114743</v>
      </c>
      <c r="K77" s="38">
        <v>158.12</v>
      </c>
    </row>
    <row r="78" spans="1:41" s="24" customFormat="1" ht="21.75" customHeight="1">
      <c r="A78" s="26"/>
      <c r="B78" s="80">
        <v>12</v>
      </c>
      <c r="C78" s="149" t="s">
        <v>92</v>
      </c>
      <c r="D78" s="35" t="s">
        <v>128</v>
      </c>
      <c r="E78" s="46">
        <v>0</v>
      </c>
      <c r="F78" s="46">
        <v>0</v>
      </c>
      <c r="G78" s="35">
        <v>0</v>
      </c>
      <c r="H78" s="35">
        <v>0</v>
      </c>
      <c r="I78" s="37">
        <v>0</v>
      </c>
      <c r="J78" s="37">
        <v>0</v>
      </c>
      <c r="K78" s="38">
        <v>0</v>
      </c>
    </row>
    <row r="79" spans="1:41" s="24" customFormat="1" ht="21.75" customHeight="1">
      <c r="A79" s="26"/>
      <c r="B79" s="80">
        <v>13</v>
      </c>
      <c r="C79" s="147" t="s">
        <v>93</v>
      </c>
      <c r="D79" s="35" t="s">
        <v>128</v>
      </c>
      <c r="E79" s="46">
        <f>+F79-8263.28</f>
        <v>3433.869999999999</v>
      </c>
      <c r="F79" s="46">
        <f>+'REVENUE DATA '!F54</f>
        <v>11697.15</v>
      </c>
      <c r="G79" s="46">
        <v>3015.63</v>
      </c>
      <c r="H79" s="46">
        <v>13653.655853664175</v>
      </c>
      <c r="I79" s="37">
        <f t="shared" si="4"/>
        <v>0.13869075450237567</v>
      </c>
      <c r="J79" s="37">
        <f t="shared" si="4"/>
        <v>-0.14329538364181893</v>
      </c>
      <c r="K79" s="38">
        <v>10638.025853664174</v>
      </c>
      <c r="AD79" s="179"/>
    </row>
    <row r="80" spans="1:41" s="24" customFormat="1" ht="21" customHeight="1">
      <c r="A80" s="26"/>
      <c r="B80" s="33">
        <v>14</v>
      </c>
      <c r="C80" s="147" t="s">
        <v>94</v>
      </c>
      <c r="D80" s="35" t="s">
        <v>128</v>
      </c>
      <c r="E80" s="46">
        <f>+F80-39.04</f>
        <v>18</v>
      </c>
      <c r="F80" s="46">
        <v>57.04</v>
      </c>
      <c r="G80" s="46">
        <v>8.0899999999999963</v>
      </c>
      <c r="H80" s="46">
        <v>44.51</v>
      </c>
      <c r="I80" s="37">
        <f t="shared" si="4"/>
        <v>1.2249690976514227</v>
      </c>
      <c r="J80" s="37">
        <f t="shared" si="4"/>
        <v>0.28150977308470004</v>
      </c>
      <c r="K80" s="38">
        <v>36.42</v>
      </c>
    </row>
    <row r="81" spans="1:31" ht="21" customHeight="1">
      <c r="A81" s="32"/>
      <c r="B81" s="80">
        <v>15</v>
      </c>
      <c r="C81" s="147" t="s">
        <v>95</v>
      </c>
      <c r="D81" s="35" t="s">
        <v>128</v>
      </c>
      <c r="E81" s="46">
        <f>+F81-141.6</f>
        <v>18.730000000000018</v>
      </c>
      <c r="F81" s="46">
        <v>160.33000000000001</v>
      </c>
      <c r="G81" s="46">
        <v>26.53</v>
      </c>
      <c r="H81" s="46">
        <v>154.03</v>
      </c>
      <c r="I81" s="37">
        <f t="shared" ref="I81" si="5">E81/G81-100%</f>
        <v>-0.29400678477195563</v>
      </c>
      <c r="J81" s="37">
        <f t="shared" ref="J81" si="6">F81/H81-100%</f>
        <v>4.0901123157826458E-2</v>
      </c>
      <c r="K81" s="38">
        <v>127.5</v>
      </c>
    </row>
    <row r="82" spans="1:31" ht="21" customHeight="1">
      <c r="A82" s="32"/>
      <c r="B82" s="184">
        <v>16</v>
      </c>
      <c r="C82" s="185" t="s">
        <v>96</v>
      </c>
      <c r="D82" s="160" t="s">
        <v>60</v>
      </c>
      <c r="E82" s="48">
        <f t="shared" ref="E82:F82" si="7">SUM(E75:E81)</f>
        <v>4187.806099999998</v>
      </c>
      <c r="F82" s="48">
        <f t="shared" si="7"/>
        <v>13059.096100000001</v>
      </c>
      <c r="G82" s="48">
        <f>SUM(G75:G81)</f>
        <v>3704.6700000000005</v>
      </c>
      <c r="H82" s="48">
        <f>SUM(H75:H81)</f>
        <v>14990.595853664176</v>
      </c>
      <c r="I82" s="191">
        <f t="shared" si="4"/>
        <v>0.13041272232074586</v>
      </c>
      <c r="J82" s="191">
        <f t="shared" si="4"/>
        <v>-0.12884743025021617</v>
      </c>
      <c r="K82" s="38">
        <v>11285.925853664176</v>
      </c>
    </row>
    <row r="83" spans="1:31" s="24" customFormat="1" ht="31.5" thickBot="1">
      <c r="A83" s="69"/>
      <c r="B83" s="186">
        <v>14</v>
      </c>
      <c r="C83" s="187" t="s">
        <v>97</v>
      </c>
      <c r="D83" s="188" t="s">
        <v>56</v>
      </c>
      <c r="E83" s="189">
        <f>E66/E74</f>
        <v>0.94771030751143781</v>
      </c>
      <c r="F83" s="189">
        <f>F66/F74</f>
        <v>0.91400442869723986</v>
      </c>
      <c r="G83" s="189">
        <f>G66/G74</f>
        <v>0.93064739206707348</v>
      </c>
      <c r="H83" s="189">
        <f>H66/H74</f>
        <v>0.92596577710789973</v>
      </c>
      <c r="I83" s="189">
        <f t="shared" si="4"/>
        <v>1.8334457915866187E-2</v>
      </c>
      <c r="J83" s="180">
        <f t="shared" si="4"/>
        <v>-1.2917700315036695E-2</v>
      </c>
      <c r="K83" s="38">
        <v>-4.6818330871529756E-3</v>
      </c>
      <c r="AE83" s="179"/>
    </row>
    <row r="84" spans="1:31" hidden="1">
      <c r="A84" s="2">
        <v>3</v>
      </c>
      <c r="F84" s="176"/>
      <c r="J84" s="37" t="e">
        <f>F84/H84-100%</f>
        <v>#DIV/0!</v>
      </c>
      <c r="K84" s="38">
        <v>0</v>
      </c>
    </row>
    <row r="85" spans="1:31">
      <c r="A85" s="480"/>
      <c r="B85" s="480"/>
      <c r="C85" s="480"/>
      <c r="D85" s="480"/>
      <c r="E85" s="480"/>
      <c r="F85" s="480"/>
      <c r="G85" s="480"/>
      <c r="H85" s="480"/>
      <c r="I85" s="480"/>
      <c r="J85" s="480"/>
      <c r="K85" s="38">
        <v>0</v>
      </c>
    </row>
    <row r="86" spans="1:31" ht="0.75" customHeight="1">
      <c r="AE86" s="38"/>
    </row>
    <row r="87" spans="1:31" hidden="1">
      <c r="G87" s="1">
        <v>3304.7</v>
      </c>
    </row>
    <row r="88" spans="1:31" hidden="1">
      <c r="F88" s="176">
        <v>10960.07</v>
      </c>
      <c r="H88" s="38"/>
    </row>
    <row r="89" spans="1:31" hidden="1">
      <c r="E89" s="176"/>
      <c r="F89" s="176">
        <f>F77+F79+F80+F81</f>
        <v>12400.6</v>
      </c>
      <c r="H89" s="38"/>
      <c r="J89" s="1">
        <v>3125.53</v>
      </c>
    </row>
    <row r="90" spans="1:31" hidden="1">
      <c r="F90" s="176">
        <f>F88-F89</f>
        <v>-1440.5300000000007</v>
      </c>
      <c r="G90" s="38"/>
      <c r="J90" s="38">
        <f>E82-J89</f>
        <v>1062.2760999999978</v>
      </c>
    </row>
    <row r="91" spans="1:31" hidden="1">
      <c r="E91" s="3">
        <v>3516.27</v>
      </c>
      <c r="F91" s="3">
        <v>181.15561685399189</v>
      </c>
    </row>
    <row r="92" spans="1:31" hidden="1">
      <c r="E92" s="176">
        <f>E91-E82</f>
        <v>-671.53609999999799</v>
      </c>
      <c r="I92" s="1">
        <f>42.5*3</f>
        <v>127.5</v>
      </c>
    </row>
    <row r="93" spans="1:31" hidden="1"/>
    <row r="94" spans="1:31" hidden="1">
      <c r="E94" s="176"/>
      <c r="F94" s="176"/>
      <c r="G94" s="38">
        <f>G82-G87</f>
        <v>399.97000000000071</v>
      </c>
    </row>
    <row r="95" spans="1:31" hidden="1">
      <c r="F95" s="176">
        <f>F79+F80</f>
        <v>11754.19</v>
      </c>
    </row>
    <row r="96" spans="1:31" hidden="1"/>
    <row r="97" spans="2:2">
      <c r="B97" s="84" t="s">
        <v>1269</v>
      </c>
    </row>
  </sheetData>
  <mergeCells count="21">
    <mergeCell ref="A85:J85"/>
    <mergeCell ref="A38:H38"/>
    <mergeCell ref="A40:H40"/>
    <mergeCell ref="I40:J40"/>
    <mergeCell ref="E42:F42"/>
    <mergeCell ref="I42:J42"/>
    <mergeCell ref="A1:H1"/>
    <mergeCell ref="A3:H3"/>
    <mergeCell ref="I63:J63"/>
    <mergeCell ref="C58:J58"/>
    <mergeCell ref="I61:J61"/>
    <mergeCell ref="A36:J36"/>
    <mergeCell ref="I3:J3"/>
    <mergeCell ref="E5:F5"/>
    <mergeCell ref="G5:H5"/>
    <mergeCell ref="A59:H59"/>
    <mergeCell ref="I5:J5"/>
    <mergeCell ref="E63:F63"/>
    <mergeCell ref="G42:H42"/>
    <mergeCell ref="A61:H61"/>
    <mergeCell ref="G63:H6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rowBreaks count="2" manualBreakCount="2">
    <brk id="37" max="16383" man="1"/>
    <brk id="58" max="16383" man="1"/>
  </rowBreaks>
  <legacyDrawing r:id="rId2"/>
  <oleObjects>
    <oleObject progId="PBrush" shapeId="4097" r:id="rId3"/>
    <oleObject progId="PBrush" shapeId="4098" r:id="rId4"/>
    <oleObject progId="PBrush" shapeId="4099" r:id="rId5"/>
    <oleObject progId="PBrush" shapeId="4100" r:id="rId6"/>
    <oleObject progId="PBrush" shapeId="4101" r:id="rId7"/>
    <oleObject progId="PBrush" shapeId="4102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U118"/>
  <sheetViews>
    <sheetView zoomScaleSheetLayoutView="90" workbookViewId="0">
      <pane xSplit="4" ySplit="4" topLeftCell="E106" activePane="bottomRight" state="frozen"/>
      <selection pane="topRight" activeCell="E1" sqref="E1"/>
      <selection pane="bottomLeft" activeCell="A5" sqref="A5"/>
      <selection pane="bottomRight" activeCell="A71" sqref="A71:J71"/>
    </sheetView>
  </sheetViews>
  <sheetFormatPr defaultRowHeight="15"/>
  <cols>
    <col min="1" max="1" width="6.28515625" style="245" customWidth="1"/>
    <col min="2" max="2" width="0.5703125" style="245" hidden="1" customWidth="1"/>
    <col min="3" max="3" width="35.28515625" style="352" customWidth="1"/>
    <col min="4" max="4" width="13.140625" style="352" customWidth="1"/>
    <col min="5" max="5" width="18.5703125" style="202" bestFit="1" customWidth="1"/>
    <col min="6" max="6" width="14.85546875" style="202" bestFit="1" customWidth="1"/>
    <col min="7" max="7" width="14.7109375" style="202" customWidth="1"/>
    <col min="8" max="8" width="12.85546875" style="202" customWidth="1"/>
    <col min="9" max="10" width="12.42578125" style="202" customWidth="1"/>
    <col min="11" max="11" width="17.5703125" style="202" hidden="1" customWidth="1"/>
    <col min="12" max="12" width="18.42578125" style="202" hidden="1" customWidth="1"/>
    <col min="13" max="13" width="17.28515625" style="202" hidden="1" customWidth="1"/>
    <col min="14" max="14" width="13.28515625" style="393" hidden="1" customWidth="1"/>
    <col min="15" max="15" width="19.85546875" style="202" hidden="1" customWidth="1"/>
    <col min="16" max="16" width="17.140625" style="202" customWidth="1"/>
    <col min="17" max="18" width="17.28515625" style="202" customWidth="1"/>
    <col min="19" max="19" width="21.140625" style="202" customWidth="1"/>
    <col min="20" max="26" width="9.140625" style="202" customWidth="1"/>
    <col min="27" max="16384" width="9.140625" style="202"/>
  </cols>
  <sheetData>
    <row r="1" spans="1:14" ht="22.5">
      <c r="A1" s="504" t="s">
        <v>1</v>
      </c>
      <c r="B1" s="504"/>
      <c r="C1" s="504"/>
      <c r="D1" s="504"/>
      <c r="E1" s="504"/>
      <c r="F1" s="504"/>
      <c r="G1" s="504"/>
      <c r="H1" s="504"/>
    </row>
    <row r="2" spans="1:14" ht="2.25" hidden="1" customHeight="1">
      <c r="C2" s="246"/>
      <c r="D2" s="246"/>
    </row>
    <row r="3" spans="1:14" ht="23.25" thickBot="1">
      <c r="A3" s="504" t="s">
        <v>2</v>
      </c>
      <c r="B3" s="504"/>
      <c r="C3" s="504"/>
      <c r="D3" s="504"/>
      <c r="E3" s="504"/>
      <c r="F3" s="504"/>
      <c r="G3" s="504"/>
      <c r="H3" s="504"/>
      <c r="I3" s="505" t="s">
        <v>130</v>
      </c>
      <c r="J3" s="505"/>
    </row>
    <row r="4" spans="1:14" ht="3" hidden="1" customHeight="1" thickBot="1">
      <c r="A4" s="247"/>
      <c r="B4" s="247"/>
      <c r="C4" s="247"/>
      <c r="D4" s="247"/>
      <c r="E4" s="203"/>
      <c r="F4" s="203"/>
      <c r="G4" s="203"/>
      <c r="H4" s="203"/>
      <c r="I4" s="204"/>
      <c r="J4" s="204"/>
    </row>
    <row r="5" spans="1:14" ht="29.25" customHeight="1" thickBot="1">
      <c r="A5" s="248"/>
      <c r="B5" s="249"/>
      <c r="C5" s="250"/>
      <c r="D5" s="251"/>
      <c r="E5" s="487" t="str">
        <f>Glance!E63</f>
        <v>Current Year 20-21</v>
      </c>
      <c r="F5" s="488"/>
      <c r="G5" s="487" t="str">
        <f>Glance!G63</f>
        <v>Previous  Year 19-20</v>
      </c>
      <c r="H5" s="488"/>
      <c r="I5" s="506" t="s">
        <v>4</v>
      </c>
      <c r="J5" s="507"/>
      <c r="K5" s="202" t="s">
        <v>147</v>
      </c>
    </row>
    <row r="6" spans="1:14" ht="0.75" hidden="1" customHeight="1" thickBot="1">
      <c r="A6" s="252"/>
      <c r="B6" s="253"/>
      <c r="C6" s="206" t="s">
        <v>5</v>
      </c>
      <c r="D6" s="206"/>
      <c r="E6" s="205"/>
      <c r="F6" s="205"/>
      <c r="G6" s="205"/>
      <c r="H6" s="205"/>
      <c r="I6" s="206"/>
      <c r="J6" s="207"/>
    </row>
    <row r="7" spans="1:14" s="258" customFormat="1" ht="45.75" thickBot="1">
      <c r="A7" s="254"/>
      <c r="B7" s="255"/>
      <c r="C7" s="256"/>
      <c r="D7" s="257"/>
      <c r="E7" s="208" t="str">
        <f>Glance!E65</f>
        <v>4th Quarter Jan'21 to Mar'21</v>
      </c>
      <c r="F7" s="209" t="str">
        <f>Glance!F65</f>
        <v xml:space="preserve">Cumulative Up to 4th quarter </v>
      </c>
      <c r="G7" s="208" t="str">
        <f>Glance!G65</f>
        <v>4th Quarter  Jan'20 to March'21</v>
      </c>
      <c r="H7" s="209" t="str">
        <f>Glance!H65</f>
        <v>Cumulative Up to 4th quarter</v>
      </c>
      <c r="I7" s="210" t="str">
        <f>Glance!I65</f>
        <v>4th Quarter</v>
      </c>
      <c r="J7" s="211" t="str">
        <f>Glance!J65</f>
        <v>Cumulative up to 4th Qtr</v>
      </c>
      <c r="N7" s="394"/>
    </row>
    <row r="8" spans="1:14" s="262" customFormat="1" ht="18">
      <c r="A8" s="259" t="s">
        <v>6</v>
      </c>
      <c r="B8" s="260"/>
      <c r="C8" s="261" t="s">
        <v>7</v>
      </c>
      <c r="D8" s="261"/>
      <c r="E8" s="212"/>
      <c r="F8" s="213"/>
      <c r="G8" s="212"/>
      <c r="H8" s="213"/>
      <c r="I8" s="212"/>
      <c r="J8" s="213"/>
      <c r="N8" s="395"/>
    </row>
    <row r="9" spans="1:14">
      <c r="A9" s="263"/>
      <c r="B9" s="264"/>
      <c r="C9" s="265" t="s">
        <v>8</v>
      </c>
      <c r="D9" s="265"/>
      <c r="E9" s="372">
        <f>4439+1</f>
        <v>4440</v>
      </c>
      <c r="F9" s="372">
        <f>+E9</f>
        <v>4440</v>
      </c>
      <c r="G9" s="239">
        <v>4217</v>
      </c>
      <c r="H9" s="240">
        <v>4217</v>
      </c>
      <c r="I9" s="241">
        <f>+(E9-G9)/G9*100</f>
        <v>5.2881195162437749</v>
      </c>
      <c r="J9" s="242">
        <f>+(F9-H9)/H9*100</f>
        <v>5.2881195162437749</v>
      </c>
      <c r="K9" s="202">
        <v>4334</v>
      </c>
    </row>
    <row r="10" spans="1:14">
      <c r="A10" s="263"/>
      <c r="B10" s="264"/>
      <c r="C10" s="265" t="s">
        <v>9</v>
      </c>
      <c r="D10" s="265"/>
      <c r="E10" s="373"/>
      <c r="F10" s="374"/>
      <c r="G10" s="267"/>
      <c r="H10" s="268"/>
      <c r="I10" s="241"/>
      <c r="J10" s="242"/>
    </row>
    <row r="11" spans="1:14">
      <c r="A11" s="263"/>
      <c r="B11" s="264"/>
      <c r="C11" s="368" t="s">
        <v>10</v>
      </c>
      <c r="D11" s="368"/>
      <c r="E11" s="375"/>
      <c r="F11" s="375"/>
      <c r="G11" s="368"/>
      <c r="H11" s="368"/>
      <c r="I11" s="369"/>
      <c r="J11" s="369"/>
    </row>
    <row r="12" spans="1:14">
      <c r="A12" s="263"/>
      <c r="B12" s="264"/>
      <c r="C12" s="370" t="s">
        <v>11</v>
      </c>
      <c r="D12" s="370"/>
      <c r="E12" s="376">
        <f>E9+E10+E11</f>
        <v>4440</v>
      </c>
      <c r="F12" s="376">
        <f>F9+F10+F11</f>
        <v>4440</v>
      </c>
      <c r="G12" s="370">
        <f>SUM(G9:G11)</f>
        <v>4217</v>
      </c>
      <c r="H12" s="370">
        <f>SUM(H9:H11)</f>
        <v>4217</v>
      </c>
      <c r="I12" s="382">
        <f t="shared" ref="I12:J20" si="0">+(E12-G12)/G12*100</f>
        <v>5.2881195162437749</v>
      </c>
      <c r="J12" s="382">
        <f t="shared" si="0"/>
        <v>5.2881195162437749</v>
      </c>
      <c r="K12" s="272">
        <f>K9+K10+K11</f>
        <v>4334</v>
      </c>
    </row>
    <row r="13" spans="1:14" ht="16.5">
      <c r="A13" s="263"/>
      <c r="B13" s="264"/>
      <c r="C13" s="368" t="s">
        <v>37</v>
      </c>
      <c r="D13" s="368"/>
      <c r="E13" s="377">
        <v>2703507</v>
      </c>
      <c r="F13" s="375">
        <f>E13</f>
        <v>2703507</v>
      </c>
      <c r="G13" s="270">
        <v>2659804</v>
      </c>
      <c r="H13" s="270">
        <v>2659804</v>
      </c>
      <c r="I13" s="369">
        <f t="shared" si="0"/>
        <v>1.6430909946747956</v>
      </c>
      <c r="J13" s="369">
        <f t="shared" si="0"/>
        <v>1.6430909946747956</v>
      </c>
    </row>
    <row r="14" spans="1:14">
      <c r="A14" s="263"/>
      <c r="B14" s="264"/>
      <c r="C14" s="368" t="s">
        <v>126</v>
      </c>
      <c r="D14" s="368"/>
      <c r="E14" s="378">
        <v>28062</v>
      </c>
      <c r="F14" s="375">
        <f>E14</f>
        <v>28062</v>
      </c>
      <c r="G14" s="270">
        <v>17066</v>
      </c>
      <c r="H14" s="270">
        <v>17066</v>
      </c>
      <c r="I14" s="369">
        <f t="shared" si="0"/>
        <v>64.432204382983713</v>
      </c>
      <c r="J14" s="369">
        <f t="shared" si="0"/>
        <v>64.432204382983713</v>
      </c>
    </row>
    <row r="15" spans="1:14">
      <c r="A15" s="263"/>
      <c r="B15" s="264"/>
      <c r="C15" s="368" t="s">
        <v>127</v>
      </c>
      <c r="D15" s="368"/>
      <c r="E15" s="378">
        <v>466581</v>
      </c>
      <c r="F15" s="375">
        <f>E15</f>
        <v>466581</v>
      </c>
      <c r="G15" s="270">
        <v>446782</v>
      </c>
      <c r="H15" s="270">
        <v>446782</v>
      </c>
      <c r="I15" s="369">
        <f t="shared" si="0"/>
        <v>4.4314676956547041</v>
      </c>
      <c r="J15" s="369">
        <f t="shared" si="0"/>
        <v>4.4314676956547041</v>
      </c>
    </row>
    <row r="16" spans="1:14">
      <c r="A16" s="263"/>
      <c r="B16" s="264"/>
      <c r="C16" s="368" t="s">
        <v>36</v>
      </c>
      <c r="D16" s="368"/>
      <c r="E16" s="378">
        <v>33370</v>
      </c>
      <c r="F16" s="375">
        <f>E16</f>
        <v>33370</v>
      </c>
      <c r="G16" s="270">
        <v>41782</v>
      </c>
      <c r="H16" s="270">
        <v>41782</v>
      </c>
      <c r="I16" s="369">
        <f t="shared" si="0"/>
        <v>-20.133071657651623</v>
      </c>
      <c r="J16" s="369">
        <f t="shared" si="0"/>
        <v>-20.133071657651623</v>
      </c>
    </row>
    <row r="17" spans="1:15">
      <c r="A17" s="263"/>
      <c r="B17" s="264"/>
      <c r="C17" s="370" t="s">
        <v>12</v>
      </c>
      <c r="D17" s="370"/>
      <c r="E17" s="376">
        <f>SUM(E13:E16)</f>
        <v>3231520</v>
      </c>
      <c r="F17" s="376">
        <f>SUM(F13:F16)</f>
        <v>3231520</v>
      </c>
      <c r="G17" s="272">
        <f>SUM(G13:G16)</f>
        <v>3165434</v>
      </c>
      <c r="H17" s="272">
        <f>SUM(H13:H16)</f>
        <v>3165434</v>
      </c>
      <c r="I17" s="382">
        <f t="shared" si="0"/>
        <v>2.087738995663786</v>
      </c>
      <c r="J17" s="382">
        <f t="shared" si="0"/>
        <v>2.087738995663786</v>
      </c>
    </row>
    <row r="18" spans="1:15">
      <c r="A18" s="263"/>
      <c r="B18" s="264"/>
      <c r="C18" s="368" t="s">
        <v>0</v>
      </c>
      <c r="D18" s="368"/>
      <c r="E18" s="378">
        <f>198901+17</f>
        <v>198918</v>
      </c>
      <c r="F18" s="375">
        <f>+E18</f>
        <v>198918</v>
      </c>
      <c r="G18" s="270">
        <v>187270</v>
      </c>
      <c r="H18" s="270">
        <v>187270</v>
      </c>
      <c r="I18" s="369">
        <f t="shared" si="0"/>
        <v>6.2198964062583437</v>
      </c>
      <c r="J18" s="369">
        <f t="shared" si="0"/>
        <v>6.2198964062583437</v>
      </c>
    </row>
    <row r="19" spans="1:15">
      <c r="A19" s="263"/>
      <c r="B19" s="264"/>
      <c r="C19" s="269" t="s">
        <v>13</v>
      </c>
      <c r="D19" s="269"/>
      <c r="E19" s="379">
        <f>SUM(E17:E18)</f>
        <v>3430438</v>
      </c>
      <c r="F19" s="380">
        <f>SUM(F17:F18)</f>
        <v>3430438</v>
      </c>
      <c r="G19" s="243">
        <f>SUM(G17:G18)</f>
        <v>3352704</v>
      </c>
      <c r="H19" s="274">
        <f>SUM(H17:H18)</f>
        <v>3352704</v>
      </c>
      <c r="I19" s="281">
        <f t="shared" si="0"/>
        <v>2.3185464627954033</v>
      </c>
      <c r="J19" s="282">
        <f t="shared" si="0"/>
        <v>2.3185464627954033</v>
      </c>
    </row>
    <row r="20" spans="1:15" s="262" customFormat="1" ht="18.75" thickBot="1">
      <c r="A20" s="275"/>
      <c r="B20" s="276"/>
      <c r="C20" s="277" t="s">
        <v>14</v>
      </c>
      <c r="D20" s="277"/>
      <c r="E20" s="381">
        <f>E19+E12</f>
        <v>3434878</v>
      </c>
      <c r="F20" s="381">
        <f>F19+F12</f>
        <v>3434878</v>
      </c>
      <c r="G20" s="244">
        <f>G19+G12</f>
        <v>3356921</v>
      </c>
      <c r="H20" s="287">
        <f>H19+H12</f>
        <v>3356921</v>
      </c>
      <c r="I20" s="299">
        <f t="shared" si="0"/>
        <v>2.3222768721694669</v>
      </c>
      <c r="J20" s="300">
        <f t="shared" si="0"/>
        <v>2.3222768721694669</v>
      </c>
      <c r="N20" s="395"/>
    </row>
    <row r="21" spans="1:15" ht="0.75" customHeight="1" thickBot="1">
      <c r="A21" s="252"/>
      <c r="B21" s="264"/>
      <c r="C21" s="278"/>
      <c r="D21" s="278"/>
      <c r="E21" s="218"/>
      <c r="F21" s="219"/>
      <c r="G21" s="218"/>
      <c r="H21" s="219"/>
      <c r="I21" s="220" t="e">
        <f>+(E21-G21)/G21*100</f>
        <v>#DIV/0!</v>
      </c>
      <c r="J21" s="221"/>
    </row>
    <row r="22" spans="1:15" s="262" customFormat="1" ht="18">
      <c r="A22" s="259" t="s">
        <v>15</v>
      </c>
      <c r="B22" s="276"/>
      <c r="C22" s="261" t="s">
        <v>16</v>
      </c>
      <c r="D22" s="261"/>
      <c r="E22" s="212"/>
      <c r="F22" s="213"/>
      <c r="G22" s="212"/>
      <c r="H22" s="213"/>
      <c r="I22" s="212"/>
      <c r="J22" s="213"/>
      <c r="N22" s="395"/>
    </row>
    <row r="23" spans="1:15">
      <c r="A23" s="263"/>
      <c r="B23" s="264"/>
      <c r="C23" s="265" t="s">
        <v>8</v>
      </c>
      <c r="D23" s="279" t="s">
        <v>17</v>
      </c>
      <c r="E23" s="266">
        <f>+F23-K23</f>
        <v>2857</v>
      </c>
      <c r="F23" s="266">
        <f>8494+7</f>
        <v>8501</v>
      </c>
      <c r="G23" s="239">
        <v>1868</v>
      </c>
      <c r="H23" s="240">
        <v>9327.35</v>
      </c>
      <c r="I23" s="241">
        <f>+(E23-G23)/G23*100</f>
        <v>52.944325481798714</v>
      </c>
      <c r="J23" s="242">
        <f>+(F23-H23)/H23*100</f>
        <v>-8.8594295271432983</v>
      </c>
      <c r="K23" s="202">
        <v>5644</v>
      </c>
      <c r="M23" s="280"/>
      <c r="N23" s="393">
        <f>+H23-9454</f>
        <v>-126.64999999999964</v>
      </c>
    </row>
    <row r="24" spans="1:15">
      <c r="A24" s="263"/>
      <c r="B24" s="264"/>
      <c r="C24" s="265" t="s">
        <v>9</v>
      </c>
      <c r="D24" s="279" t="s">
        <v>17</v>
      </c>
      <c r="E24" s="239"/>
      <c r="F24" s="240"/>
      <c r="G24" s="239"/>
      <c r="H24" s="240"/>
      <c r="I24" s="241"/>
      <c r="J24" s="242"/>
      <c r="M24" s="280"/>
    </row>
    <row r="25" spans="1:15">
      <c r="A25" s="263"/>
      <c r="B25" s="264"/>
      <c r="C25" s="265" t="s">
        <v>10</v>
      </c>
      <c r="D25" s="279" t="s">
        <v>17</v>
      </c>
      <c r="E25" s="239"/>
      <c r="F25" s="240"/>
      <c r="G25" s="239"/>
      <c r="H25" s="240"/>
      <c r="I25" s="241"/>
      <c r="J25" s="242"/>
      <c r="M25" s="280"/>
    </row>
    <row r="26" spans="1:15">
      <c r="A26" s="263"/>
      <c r="B26" s="264"/>
      <c r="C26" s="269" t="s">
        <v>11</v>
      </c>
      <c r="D26" s="279" t="s">
        <v>17</v>
      </c>
      <c r="E26" s="243">
        <f>SUM(E23:E25)</f>
        <v>2857</v>
      </c>
      <c r="F26" s="243">
        <f>SUM(F23:F25)</f>
        <v>8501</v>
      </c>
      <c r="G26" s="243">
        <f>SUM(G23:G25)</f>
        <v>1868</v>
      </c>
      <c r="H26" s="274">
        <f>SUM(H23:H25)</f>
        <v>9327.35</v>
      </c>
      <c r="I26" s="281">
        <f t="shared" ref="I26:J34" si="1">+(E26-G26)/G26*100</f>
        <v>52.944325481798714</v>
      </c>
      <c r="J26" s="282">
        <f t="shared" si="1"/>
        <v>-8.8594295271432983</v>
      </c>
      <c r="K26" s="243">
        <f>SUM(K23:K25)</f>
        <v>5644</v>
      </c>
      <c r="M26" s="280"/>
    </row>
    <row r="27" spans="1:15">
      <c r="A27" s="263"/>
      <c r="B27" s="264"/>
      <c r="C27" s="265" t="s">
        <v>37</v>
      </c>
      <c r="D27" s="279" t="s">
        <v>17</v>
      </c>
      <c r="E27" s="266">
        <f t="shared" ref="E27:E32" si="2">+F27-K27</f>
        <v>436</v>
      </c>
      <c r="F27" s="283">
        <v>3268</v>
      </c>
      <c r="G27" s="239">
        <v>455</v>
      </c>
      <c r="H27" s="240">
        <v>3195</v>
      </c>
      <c r="I27" s="241">
        <f t="shared" si="1"/>
        <v>-4.1758241758241752</v>
      </c>
      <c r="J27" s="242">
        <f t="shared" si="1"/>
        <v>2.2848200312989047</v>
      </c>
      <c r="K27" s="202">
        <v>2832</v>
      </c>
      <c r="M27" s="280"/>
      <c r="O27" s="284"/>
    </row>
    <row r="28" spans="1:15">
      <c r="A28" s="263"/>
      <c r="B28" s="264"/>
      <c r="C28" s="265" t="s">
        <v>126</v>
      </c>
      <c r="D28" s="279" t="s">
        <v>17</v>
      </c>
      <c r="E28" s="266">
        <f t="shared" si="2"/>
        <v>20</v>
      </c>
      <c r="F28" s="283">
        <v>91</v>
      </c>
      <c r="G28" s="239">
        <v>12</v>
      </c>
      <c r="H28" s="240">
        <v>59</v>
      </c>
      <c r="I28" s="241">
        <f>+(E28-G28)/G28*100</f>
        <v>66.666666666666657</v>
      </c>
      <c r="J28" s="242">
        <f t="shared" si="1"/>
        <v>54.237288135593218</v>
      </c>
      <c r="K28" s="202">
        <v>71</v>
      </c>
      <c r="M28" s="280"/>
      <c r="O28" s="284"/>
    </row>
    <row r="29" spans="1:15">
      <c r="A29" s="263"/>
      <c r="B29" s="264"/>
      <c r="C29" s="265" t="s">
        <v>127</v>
      </c>
      <c r="D29" s="279" t="s">
        <v>17</v>
      </c>
      <c r="E29" s="266">
        <f t="shared" si="2"/>
        <v>1634</v>
      </c>
      <c r="F29" s="283">
        <v>4541</v>
      </c>
      <c r="G29" s="239">
        <v>1630</v>
      </c>
      <c r="H29" s="240">
        <v>5924</v>
      </c>
      <c r="I29" s="241">
        <f t="shared" si="1"/>
        <v>0.245398773006135</v>
      </c>
      <c r="J29" s="242">
        <f t="shared" si="1"/>
        <v>-23.345712356515868</v>
      </c>
      <c r="K29" s="202">
        <v>2907</v>
      </c>
      <c r="M29" s="280"/>
      <c r="O29" s="284"/>
    </row>
    <row r="30" spans="1:15">
      <c r="A30" s="263"/>
      <c r="B30" s="264"/>
      <c r="C30" s="265" t="s">
        <v>36</v>
      </c>
      <c r="D30" s="279" t="s">
        <v>17</v>
      </c>
      <c r="E30" s="266">
        <f t="shared" si="2"/>
        <v>57</v>
      </c>
      <c r="F30" s="283">
        <v>243</v>
      </c>
      <c r="G30" s="239">
        <v>88</v>
      </c>
      <c r="H30" s="240">
        <v>305</v>
      </c>
      <c r="I30" s="241">
        <f t="shared" si="1"/>
        <v>-35.227272727272727</v>
      </c>
      <c r="J30" s="242">
        <f t="shared" si="1"/>
        <v>-20.327868852459016</v>
      </c>
      <c r="K30" s="202">
        <v>186</v>
      </c>
      <c r="M30" s="280"/>
      <c r="O30" s="284"/>
    </row>
    <row r="31" spans="1:15">
      <c r="A31" s="263"/>
      <c r="B31" s="264"/>
      <c r="C31" s="269" t="s">
        <v>12</v>
      </c>
      <c r="D31" s="279" t="s">
        <v>17</v>
      </c>
      <c r="E31" s="243">
        <f>SUM(E27:E30)</f>
        <v>2147</v>
      </c>
      <c r="F31" s="274">
        <f>SUM(F27:F30)</f>
        <v>8143</v>
      </c>
      <c r="G31" s="243">
        <f>SUM(G27:G30)</f>
        <v>2185</v>
      </c>
      <c r="H31" s="274">
        <f>SUM(H27:H30)</f>
        <v>9483</v>
      </c>
      <c r="I31" s="241">
        <f t="shared" si="1"/>
        <v>-1.7391304347826086</v>
      </c>
      <c r="J31" s="242">
        <f t="shared" si="1"/>
        <v>-14.130549404196985</v>
      </c>
      <c r="K31" s="274">
        <f>SUM(K27:K30)</f>
        <v>5996</v>
      </c>
      <c r="M31" s="280"/>
    </row>
    <row r="32" spans="1:15">
      <c r="A32" s="263"/>
      <c r="B32" s="264"/>
      <c r="C32" s="265" t="s">
        <v>18</v>
      </c>
      <c r="D32" s="279" t="s">
        <v>17</v>
      </c>
      <c r="E32" s="266">
        <f t="shared" si="2"/>
        <v>294</v>
      </c>
      <c r="F32" s="266">
        <v>922</v>
      </c>
      <c r="G32" s="239">
        <v>378</v>
      </c>
      <c r="H32" s="240">
        <v>882</v>
      </c>
      <c r="I32" s="241">
        <f t="shared" si="1"/>
        <v>-22.222222222222221</v>
      </c>
      <c r="J32" s="242">
        <f t="shared" si="1"/>
        <v>4.5351473922902494</v>
      </c>
      <c r="K32" s="202">
        <v>628</v>
      </c>
      <c r="M32" s="280"/>
    </row>
    <row r="33" spans="1:21">
      <c r="A33" s="263"/>
      <c r="B33" s="264"/>
      <c r="C33" s="269" t="s">
        <v>13</v>
      </c>
      <c r="D33" s="279" t="s">
        <v>17</v>
      </c>
      <c r="E33" s="243">
        <f>SUM(E31:E32)</f>
        <v>2441</v>
      </c>
      <c r="F33" s="243">
        <f>SUM(F31:F32)</f>
        <v>9065</v>
      </c>
      <c r="G33" s="243">
        <f>SUM(G31:G32)</f>
        <v>2563</v>
      </c>
      <c r="H33" s="274">
        <f>SUM(H31:H32)</f>
        <v>10365</v>
      </c>
      <c r="I33" s="241">
        <f t="shared" si="1"/>
        <v>-4.7600468201326578</v>
      </c>
      <c r="J33" s="242">
        <f t="shared" si="1"/>
        <v>-12.542209358417752</v>
      </c>
      <c r="K33" s="243">
        <f>SUM(K31:K32)</f>
        <v>6624</v>
      </c>
    </row>
    <row r="34" spans="1:21" s="262" customFormat="1" ht="18.75" thickBot="1">
      <c r="A34" s="275"/>
      <c r="B34" s="285"/>
      <c r="C34" s="277" t="s">
        <v>14</v>
      </c>
      <c r="D34" s="286" t="s">
        <v>17</v>
      </c>
      <c r="E34" s="244">
        <f>E26+E33</f>
        <v>5298</v>
      </c>
      <c r="F34" s="287">
        <f>+F33+F26</f>
        <v>17566</v>
      </c>
      <c r="G34" s="244">
        <f>G26+G33</f>
        <v>4431</v>
      </c>
      <c r="H34" s="287">
        <f>+H33+H26</f>
        <v>19692.349999999999</v>
      </c>
      <c r="I34" s="216">
        <f t="shared" si="1"/>
        <v>19.56668923493568</v>
      </c>
      <c r="J34" s="217">
        <f t="shared" si="1"/>
        <v>-10.797847895248657</v>
      </c>
      <c r="K34" s="287">
        <f>+K33+K26</f>
        <v>12268</v>
      </c>
      <c r="L34" s="288"/>
      <c r="M34" s="280">
        <v>15262.72</v>
      </c>
      <c r="N34" s="395" t="e">
        <f>E34-#REF!</f>
        <v>#REF!</v>
      </c>
    </row>
    <row r="35" spans="1:21" ht="23.25" customHeight="1" thickBot="1">
      <c r="A35" s="491" t="s">
        <v>1</v>
      </c>
      <c r="B35" s="492"/>
      <c r="C35" s="492"/>
      <c r="D35" s="492"/>
      <c r="E35" s="492"/>
      <c r="F35" s="492"/>
      <c r="G35" s="492"/>
      <c r="H35" s="492"/>
      <c r="I35" s="492"/>
      <c r="J35" s="493"/>
    </row>
    <row r="36" spans="1:21" ht="2.25" hidden="1" customHeight="1" thickBot="1">
      <c r="A36" s="289"/>
      <c r="B36" s="289"/>
      <c r="C36" s="290"/>
      <c r="D36" s="290"/>
      <c r="E36" s="219"/>
      <c r="F36" s="219"/>
      <c r="G36" s="219"/>
      <c r="H36" s="219"/>
      <c r="I36" s="219"/>
      <c r="J36" s="219"/>
    </row>
    <row r="37" spans="1:21" ht="23.25" thickBot="1">
      <c r="A37" s="499" t="s">
        <v>19</v>
      </c>
      <c r="B37" s="500"/>
      <c r="C37" s="500"/>
      <c r="D37" s="500"/>
      <c r="E37" s="500"/>
      <c r="F37" s="500"/>
      <c r="G37" s="500"/>
      <c r="H37" s="501"/>
      <c r="I37" s="502" t="s">
        <v>3</v>
      </c>
      <c r="J37" s="503"/>
    </row>
    <row r="38" spans="1:21" ht="1.5" hidden="1" customHeight="1" thickBot="1">
      <c r="A38" s="291"/>
      <c r="B38" s="291"/>
      <c r="C38" s="291"/>
      <c r="D38" s="291"/>
      <c r="E38" s="222"/>
      <c r="F38" s="222"/>
      <c r="G38" s="222"/>
      <c r="H38" s="222"/>
      <c r="I38" s="223"/>
      <c r="J38" s="223"/>
    </row>
    <row r="39" spans="1:21" ht="34.5" customHeight="1" thickBot="1">
      <c r="A39" s="292"/>
      <c r="B39" s="293"/>
      <c r="C39" s="250"/>
      <c r="D39" s="250"/>
      <c r="E39" s="487" t="str">
        <f>E5</f>
        <v>Current Year 20-21</v>
      </c>
      <c r="F39" s="488"/>
      <c r="G39" s="487" t="str">
        <f>G5</f>
        <v>Previous  Year 19-20</v>
      </c>
      <c r="H39" s="488"/>
      <c r="I39" s="508" t="s">
        <v>4</v>
      </c>
      <c r="J39" s="507"/>
    </row>
    <row r="40" spans="1:21" ht="3" hidden="1" customHeight="1" thickBot="1">
      <c r="A40" s="289"/>
      <c r="B40" s="289"/>
      <c r="C40" s="206"/>
      <c r="D40" s="206"/>
      <c r="E40" s="205"/>
      <c r="F40" s="205"/>
      <c r="G40" s="205"/>
      <c r="H40" s="205"/>
      <c r="I40" s="206"/>
      <c r="J40" s="206"/>
    </row>
    <row r="41" spans="1:21" ht="55.5" customHeight="1" thickBot="1">
      <c r="A41" s="292"/>
      <c r="B41" s="293"/>
      <c r="C41" s="294"/>
      <c r="D41" s="295"/>
      <c r="E41" s="229" t="str">
        <f>E7</f>
        <v>4th Quarter Jan'21 to Mar'21</v>
      </c>
      <c r="F41" s="230" t="s">
        <v>138</v>
      </c>
      <c r="G41" s="229" t="str">
        <f>G7</f>
        <v>4th Quarter  Jan'20 to March'21</v>
      </c>
      <c r="H41" s="230" t="str">
        <f>H7</f>
        <v>Cumulative Up to 4th quarter</v>
      </c>
      <c r="I41" s="231" t="str">
        <f>I7</f>
        <v>4th Quarter</v>
      </c>
      <c r="J41" s="230" t="str">
        <f>J7</f>
        <v>Cumulative up to 4th Qtr</v>
      </c>
      <c r="K41" s="202" t="s">
        <v>1267</v>
      </c>
    </row>
    <row r="42" spans="1:21" s="262" customFormat="1" ht="18">
      <c r="A42" s="259" t="s">
        <v>21</v>
      </c>
      <c r="B42" s="296"/>
      <c r="C42" s="261" t="s">
        <v>22</v>
      </c>
      <c r="D42" s="297"/>
      <c r="E42" s="212"/>
      <c r="F42" s="213"/>
      <c r="G42" s="212"/>
      <c r="H42" s="213"/>
      <c r="I42" s="212"/>
      <c r="J42" s="213"/>
      <c r="N42" s="395"/>
    </row>
    <row r="43" spans="1:21">
      <c r="A43" s="263"/>
      <c r="B43" s="264"/>
      <c r="C43" s="265" t="s">
        <v>8</v>
      </c>
      <c r="D43" s="279" t="s">
        <v>23</v>
      </c>
      <c r="E43" s="283">
        <f>+F43-K43</f>
        <v>1881.8000000000002</v>
      </c>
      <c r="F43" s="283">
        <f>6171.99+5.3</f>
        <v>6177.29</v>
      </c>
      <c r="G43" s="241">
        <v>1379.64</v>
      </c>
      <c r="H43" s="242">
        <v>7085.8503599190108</v>
      </c>
      <c r="I43" s="241">
        <f>+(E43-G43)/G43*100</f>
        <v>36.397900901684501</v>
      </c>
      <c r="J43" s="242">
        <f>+(F43-H43)/H43*100</f>
        <v>-12.822178196963721</v>
      </c>
      <c r="K43" s="202">
        <v>4295.49</v>
      </c>
      <c r="P43" s="284"/>
      <c r="U43" s="202">
        <v>60.837624078480452</v>
      </c>
    </row>
    <row r="44" spans="1:21">
      <c r="A44" s="263"/>
      <c r="B44" s="264"/>
      <c r="C44" s="265" t="s">
        <v>9</v>
      </c>
      <c r="D44" s="279" t="s">
        <v>23</v>
      </c>
      <c r="E44" s="239"/>
      <c r="F44" s="240"/>
      <c r="G44" s="241"/>
      <c r="H44" s="242"/>
      <c r="I44" s="241"/>
      <c r="J44" s="242"/>
    </row>
    <row r="45" spans="1:21">
      <c r="A45" s="263"/>
      <c r="B45" s="264"/>
      <c r="C45" s="265" t="s">
        <v>10</v>
      </c>
      <c r="D45" s="279" t="s">
        <v>23</v>
      </c>
      <c r="E45" s="241"/>
      <c r="F45" s="240"/>
      <c r="G45" s="241"/>
      <c r="H45" s="242"/>
      <c r="I45" s="241"/>
      <c r="J45" s="242"/>
    </row>
    <row r="46" spans="1:21">
      <c r="A46" s="263"/>
      <c r="B46" s="264"/>
      <c r="C46" s="269" t="s">
        <v>11</v>
      </c>
      <c r="D46" s="279" t="s">
        <v>23</v>
      </c>
      <c r="E46" s="281">
        <f>SUM(E43:E45)</f>
        <v>1881.8000000000002</v>
      </c>
      <c r="F46" s="281">
        <f>SUM(F43:F45)</f>
        <v>6177.29</v>
      </c>
      <c r="G46" s="281">
        <f>SUM(G43:G45)</f>
        <v>1379.64</v>
      </c>
      <c r="H46" s="281">
        <f>SUM(H43:H45)</f>
        <v>7085.8503599190108</v>
      </c>
      <c r="I46" s="281">
        <f t="shared" ref="I46:J54" si="3">+(E46-G46)/G46*100</f>
        <v>36.397900901684501</v>
      </c>
      <c r="J46" s="282">
        <f t="shared" si="3"/>
        <v>-12.822178196963721</v>
      </c>
      <c r="K46" s="202">
        <f>+K43</f>
        <v>4295.49</v>
      </c>
      <c r="O46" s="284"/>
      <c r="U46" s="202">
        <v>60.837624078480452</v>
      </c>
    </row>
    <row r="47" spans="1:21">
      <c r="A47" s="263"/>
      <c r="B47" s="264"/>
      <c r="C47" s="265" t="s">
        <v>37</v>
      </c>
      <c r="D47" s="279" t="s">
        <v>23</v>
      </c>
      <c r="E47" s="283">
        <f t="shared" ref="E47:E52" si="4">+F47-K47</f>
        <v>78.450000000000045</v>
      </c>
      <c r="F47" s="283">
        <v>1808.48</v>
      </c>
      <c r="G47" s="241">
        <v>256.24</v>
      </c>
      <c r="H47" s="242">
        <v>1841.8295834841899</v>
      </c>
      <c r="I47" s="241">
        <f t="shared" si="3"/>
        <v>-69.38417108960347</v>
      </c>
      <c r="J47" s="242">
        <f t="shared" si="3"/>
        <v>-1.8106769368478968</v>
      </c>
      <c r="K47" s="202">
        <v>1730.03</v>
      </c>
      <c r="O47" s="284"/>
      <c r="U47" s="202">
        <v>17.251148789805871</v>
      </c>
    </row>
    <row r="48" spans="1:21">
      <c r="A48" s="263"/>
      <c r="B48" s="264"/>
      <c r="C48" s="265" t="s">
        <v>126</v>
      </c>
      <c r="D48" s="279" t="s">
        <v>23</v>
      </c>
      <c r="E48" s="283">
        <f t="shared" si="4"/>
        <v>8.7199999999999989</v>
      </c>
      <c r="F48" s="283">
        <v>55.07</v>
      </c>
      <c r="G48" s="241">
        <v>11</v>
      </c>
      <c r="H48" s="242">
        <v>35.679899676668697</v>
      </c>
      <c r="I48" s="241">
        <f t="shared" si="3"/>
        <v>-20.727272727272737</v>
      </c>
      <c r="J48" s="242">
        <f t="shared" si="3"/>
        <v>54.344604382423775</v>
      </c>
      <c r="K48" s="202">
        <v>46.35</v>
      </c>
      <c r="O48" s="284"/>
      <c r="U48" s="202">
        <v>0.26851628307505104</v>
      </c>
    </row>
    <row r="49" spans="1:21">
      <c r="A49" s="263"/>
      <c r="B49" s="264"/>
      <c r="C49" s="265" t="s">
        <v>127</v>
      </c>
      <c r="D49" s="279" t="s">
        <v>23</v>
      </c>
      <c r="E49" s="283">
        <f t="shared" si="4"/>
        <v>1185.3499999999999</v>
      </c>
      <c r="F49" s="283">
        <v>3219.33</v>
      </c>
      <c r="G49" s="241">
        <v>1093.57</v>
      </c>
      <c r="H49" s="242">
        <v>4231.6982804687595</v>
      </c>
      <c r="I49" s="241">
        <f t="shared" si="3"/>
        <v>8.3926954835995833</v>
      </c>
      <c r="J49" s="242">
        <f t="shared" si="3"/>
        <v>-23.923451375097002</v>
      </c>
      <c r="K49" s="202">
        <v>2033.98</v>
      </c>
      <c r="O49" s="284"/>
      <c r="U49" s="202">
        <v>34.142705307702954</v>
      </c>
    </row>
    <row r="50" spans="1:21">
      <c r="A50" s="263"/>
      <c r="B50" s="264"/>
      <c r="C50" s="265" t="s">
        <v>36</v>
      </c>
      <c r="D50" s="279" t="s">
        <v>23</v>
      </c>
      <c r="E50" s="283">
        <f t="shared" si="4"/>
        <v>43.519999999999996</v>
      </c>
      <c r="F50" s="283">
        <v>144.29</v>
      </c>
      <c r="G50" s="241">
        <v>116.01</v>
      </c>
      <c r="H50" s="242">
        <v>185.8977301155453</v>
      </c>
      <c r="I50" s="241">
        <f t="shared" si="3"/>
        <v>-62.48599258684596</v>
      </c>
      <c r="J50" s="242">
        <f t="shared" si="3"/>
        <v>-22.382053879670234</v>
      </c>
      <c r="K50" s="202">
        <v>100.77</v>
      </c>
      <c r="O50" s="284"/>
      <c r="U50" s="202">
        <v>0.76037559994294035</v>
      </c>
    </row>
    <row r="51" spans="1:21">
      <c r="A51" s="263"/>
      <c r="B51" s="264"/>
      <c r="C51" s="269" t="s">
        <v>12</v>
      </c>
      <c r="D51" s="279" t="s">
        <v>23</v>
      </c>
      <c r="E51" s="281">
        <f>SUM(E47:E50)</f>
        <v>1316.04</v>
      </c>
      <c r="F51" s="282">
        <f>SUM(F47:F50)</f>
        <v>5227.17</v>
      </c>
      <c r="G51" s="281">
        <f>SUM(G47:G50)</f>
        <v>1476.82</v>
      </c>
      <c r="H51" s="281">
        <f>SUM(H47:H50)</f>
        <v>6295.1054937451636</v>
      </c>
      <c r="I51" s="281">
        <f t="shared" si="3"/>
        <v>-10.886905648623392</v>
      </c>
      <c r="J51" s="282">
        <f t="shared" si="3"/>
        <v>-16.964536889910224</v>
      </c>
      <c r="K51" s="202">
        <f>+SUM(K47:K50)</f>
        <v>3911.1299999999997</v>
      </c>
      <c r="U51" s="202">
        <v>52.42274598052682</v>
      </c>
    </row>
    <row r="52" spans="1:21">
      <c r="A52" s="263"/>
      <c r="B52" s="264"/>
      <c r="C52" s="265" t="s">
        <v>0</v>
      </c>
      <c r="D52" s="279" t="s">
        <v>23</v>
      </c>
      <c r="E52" s="283">
        <f t="shared" si="4"/>
        <v>236.01999999999998</v>
      </c>
      <c r="F52" s="283">
        <v>292.69</v>
      </c>
      <c r="G52" s="241">
        <v>159.16999999999999</v>
      </c>
      <c r="H52" s="242">
        <v>272.7</v>
      </c>
      <c r="I52" s="241">
        <f t="shared" si="3"/>
        <v>48.281711377772197</v>
      </c>
      <c r="J52" s="242">
        <f t="shared" si="3"/>
        <v>7.3303997066373343</v>
      </c>
      <c r="K52" s="202">
        <v>56.67</v>
      </c>
      <c r="O52" s="284"/>
      <c r="U52" s="202">
        <v>1.235246794986586</v>
      </c>
    </row>
    <row r="53" spans="1:21">
      <c r="A53" s="263"/>
      <c r="B53" s="264"/>
      <c r="C53" s="269" t="s">
        <v>13</v>
      </c>
      <c r="D53" s="279" t="s">
        <v>23</v>
      </c>
      <c r="E53" s="241">
        <f>SUM(E51:E52)</f>
        <v>1552.06</v>
      </c>
      <c r="F53" s="242">
        <f>SUM(F51:F52)</f>
        <v>5519.86</v>
      </c>
      <c r="G53" s="281">
        <f>G51+G52</f>
        <v>1635.99</v>
      </c>
      <c r="H53" s="281">
        <f>H51+H52</f>
        <v>6567.8054937451634</v>
      </c>
      <c r="I53" s="241">
        <f t="shared" si="3"/>
        <v>-5.1302269573774941</v>
      </c>
      <c r="J53" s="242">
        <f t="shared" si="3"/>
        <v>-15.955793677860475</v>
      </c>
      <c r="K53" s="202">
        <f>+K51+K52</f>
        <v>3967.7999999999997</v>
      </c>
      <c r="Q53" s="202">
        <v>141.60999999999331</v>
      </c>
      <c r="U53" s="202">
        <v>53.657992775513407</v>
      </c>
    </row>
    <row r="54" spans="1:21" ht="18" customHeight="1" thickBot="1">
      <c r="A54" s="298"/>
      <c r="B54" s="264"/>
      <c r="C54" s="277" t="s">
        <v>14</v>
      </c>
      <c r="D54" s="286"/>
      <c r="E54" s="299">
        <f>E46+E53</f>
        <v>3433.86</v>
      </c>
      <c r="F54" s="300">
        <f>+F53+F46</f>
        <v>11697.15</v>
      </c>
      <c r="G54" s="299">
        <f>G46+G53</f>
        <v>3015.63</v>
      </c>
      <c r="H54" s="299">
        <f>H46+H53</f>
        <v>13653.655853664175</v>
      </c>
      <c r="I54" s="299">
        <f t="shared" si="3"/>
        <v>13.868743844569792</v>
      </c>
      <c r="J54" s="300">
        <f t="shared" si="3"/>
        <v>-14.329538364181898</v>
      </c>
      <c r="K54" s="202">
        <f>+K53+K46</f>
        <v>8263.2899999999991</v>
      </c>
      <c r="L54" s="284">
        <f>+K54-F54</f>
        <v>-3433.8600000000006</v>
      </c>
      <c r="M54" s="284">
        <v>10779.64</v>
      </c>
      <c r="P54" s="284">
        <v>10638.03</v>
      </c>
      <c r="Q54" s="284">
        <f>P54-F54</f>
        <v>-1059.119999999999</v>
      </c>
      <c r="R54" s="202">
        <v>3400.91</v>
      </c>
      <c r="S54" s="284">
        <f>E54-R54</f>
        <v>32.950000000000273</v>
      </c>
      <c r="U54" s="202">
        <v>114.49561685399385</v>
      </c>
    </row>
    <row r="55" spans="1:21" ht="2.25" hidden="1" customHeight="1" thickBot="1">
      <c r="A55" s="289"/>
      <c r="B55" s="301"/>
      <c r="C55" s="290"/>
      <c r="D55" s="302"/>
      <c r="E55" s="219"/>
      <c r="F55" s="220"/>
      <c r="G55" s="219"/>
      <c r="H55" s="219"/>
      <c r="I55" s="220"/>
      <c r="J55" s="220"/>
    </row>
    <row r="56" spans="1:21" s="262" customFormat="1" ht="18">
      <c r="A56" s="259" t="s">
        <v>24</v>
      </c>
      <c r="B56" s="260"/>
      <c r="C56" s="261" t="s">
        <v>25</v>
      </c>
      <c r="D56" s="261"/>
      <c r="E56" s="212"/>
      <c r="F56" s="213"/>
      <c r="G56" s="212"/>
      <c r="H56" s="213"/>
      <c r="I56" s="224"/>
      <c r="J56" s="225"/>
      <c r="N56" s="395"/>
    </row>
    <row r="57" spans="1:21">
      <c r="A57" s="263"/>
      <c r="B57" s="264"/>
      <c r="C57" s="265" t="s">
        <v>8</v>
      </c>
      <c r="D57" s="279" t="s">
        <v>26</v>
      </c>
      <c r="E57" s="239">
        <f>+E43/E23*1000</f>
        <v>658.66293314665734</v>
      </c>
      <c r="F57" s="240">
        <f>+F43/F23*1000</f>
        <v>726.65451123397247</v>
      </c>
      <c r="G57" s="240">
        <v>738.56531049250543</v>
      </c>
      <c r="H57" s="240">
        <v>759.68526536679883</v>
      </c>
      <c r="I57" s="241">
        <f>+(E57-G57)/G57*100</f>
        <v>-10.818593320144691</v>
      </c>
      <c r="J57" s="242">
        <f>+(F57-H57)/H57*100</f>
        <v>-4.3479524532936829</v>
      </c>
    </row>
    <row r="58" spans="1:21">
      <c r="A58" s="263"/>
      <c r="B58" s="264"/>
      <c r="C58" s="265" t="s">
        <v>9</v>
      </c>
      <c r="D58" s="279" t="s">
        <v>26</v>
      </c>
      <c r="E58" s="239"/>
      <c r="F58" s="240"/>
      <c r="G58" s="239"/>
      <c r="H58" s="240"/>
      <c r="I58" s="241"/>
      <c r="J58" s="242"/>
    </row>
    <row r="59" spans="1:21">
      <c r="A59" s="263"/>
      <c r="B59" s="264"/>
      <c r="C59" s="265" t="s">
        <v>10</v>
      </c>
      <c r="D59" s="279" t="s">
        <v>26</v>
      </c>
      <c r="E59" s="239"/>
      <c r="F59" s="240"/>
      <c r="G59" s="239"/>
      <c r="H59" s="240"/>
      <c r="I59" s="241"/>
      <c r="J59" s="242"/>
    </row>
    <row r="60" spans="1:21">
      <c r="A60" s="263"/>
      <c r="B60" s="264"/>
      <c r="C60" s="269" t="s">
        <v>11</v>
      </c>
      <c r="D60" s="279" t="s">
        <v>26</v>
      </c>
      <c r="E60" s="243">
        <f t="shared" ref="E60:F64" si="5">+E46/E26*1000</f>
        <v>658.66293314665734</v>
      </c>
      <c r="F60" s="274">
        <f t="shared" si="5"/>
        <v>726.65451123397247</v>
      </c>
      <c r="G60" s="243">
        <f>SUM(G57:G59)</f>
        <v>738.56531049250543</v>
      </c>
      <c r="H60" s="243">
        <f>SUM(H57:H59)</f>
        <v>759.68526536679883</v>
      </c>
      <c r="I60" s="281">
        <f t="shared" ref="I60:J68" si="6">+(E60-G60)/G60*100</f>
        <v>-10.818593320144691</v>
      </c>
      <c r="J60" s="282">
        <f t="shared" si="6"/>
        <v>-4.3479524532936829</v>
      </c>
    </row>
    <row r="61" spans="1:21">
      <c r="A61" s="263"/>
      <c r="B61" s="264"/>
      <c r="C61" s="265" t="s">
        <v>37</v>
      </c>
      <c r="D61" s="279" t="s">
        <v>26</v>
      </c>
      <c r="E61" s="239">
        <f t="shared" si="5"/>
        <v>179.93119266055058</v>
      </c>
      <c r="F61" s="240">
        <f t="shared" si="5"/>
        <v>553.39045287637703</v>
      </c>
      <c r="G61" s="240">
        <f>+G47/G27*1000</f>
        <v>563.16483516483515</v>
      </c>
      <c r="H61" s="240">
        <f>+H47/H27*1000</f>
        <v>576.47248309364318</v>
      </c>
      <c r="I61" s="241">
        <f t="shared" si="6"/>
        <v>-68.049995059104546</v>
      </c>
      <c r="J61" s="242">
        <f t="shared" si="6"/>
        <v>-4.0040124887481694</v>
      </c>
    </row>
    <row r="62" spans="1:21">
      <c r="A62" s="263"/>
      <c r="B62" s="264"/>
      <c r="C62" s="265" t="s">
        <v>126</v>
      </c>
      <c r="D62" s="279" t="s">
        <v>26</v>
      </c>
      <c r="E62" s="240">
        <f t="shared" si="5"/>
        <v>435.99999999999994</v>
      </c>
      <c r="F62" s="240">
        <f>(+F48/F28*1000)</f>
        <v>605.16483516483527</v>
      </c>
      <c r="G62" s="240">
        <f t="shared" ref="G62:H68" si="7">+G48/G28*1000</f>
        <v>916.66666666666663</v>
      </c>
      <c r="H62" s="240">
        <f t="shared" si="7"/>
        <v>604.74406231641865</v>
      </c>
      <c r="I62" s="241">
        <f t="shared" si="6"/>
        <v>-52.436363636363637</v>
      </c>
      <c r="J62" s="242">
        <f t="shared" si="6"/>
        <v>6.9578665527510117E-2</v>
      </c>
    </row>
    <row r="63" spans="1:21">
      <c r="A63" s="263"/>
      <c r="B63" s="264"/>
      <c r="C63" s="265" t="s">
        <v>127</v>
      </c>
      <c r="D63" s="279" t="s">
        <v>26</v>
      </c>
      <c r="E63" s="239">
        <f t="shared" si="5"/>
        <v>725.4283965728273</v>
      </c>
      <c r="F63" s="240">
        <f t="shared" si="5"/>
        <v>708.94736842105272</v>
      </c>
      <c r="G63" s="240">
        <f t="shared" si="7"/>
        <v>670.90184049079744</v>
      </c>
      <c r="H63" s="240">
        <f t="shared" si="7"/>
        <v>714.33124248291017</v>
      </c>
      <c r="I63" s="241">
        <f t="shared" si="6"/>
        <v>8.1273522878012994</v>
      </c>
      <c r="J63" s="242">
        <f t="shared" si="6"/>
        <v>-0.75369432857841989</v>
      </c>
    </row>
    <row r="64" spans="1:21">
      <c r="A64" s="263"/>
      <c r="B64" s="264"/>
      <c r="C64" s="265" t="s">
        <v>36</v>
      </c>
      <c r="D64" s="279" t="s">
        <v>26</v>
      </c>
      <c r="E64" s="240">
        <f t="shared" si="5"/>
        <v>763.50877192982443</v>
      </c>
      <c r="F64" s="240">
        <f t="shared" si="5"/>
        <v>593.78600823045269</v>
      </c>
      <c r="G64" s="240">
        <f t="shared" si="7"/>
        <v>1318.2954545454545</v>
      </c>
      <c r="H64" s="240">
        <f t="shared" si="7"/>
        <v>609.5007544771978</v>
      </c>
      <c r="I64" s="241">
        <f t="shared" si="6"/>
        <v>-42.083637677937638</v>
      </c>
      <c r="J64" s="242">
        <f t="shared" si="6"/>
        <v>-2.578298079421494</v>
      </c>
    </row>
    <row r="65" spans="1:19">
      <c r="A65" s="263"/>
      <c r="B65" s="264"/>
      <c r="C65" s="269" t="s">
        <v>12</v>
      </c>
      <c r="D65" s="279" t="s">
        <v>26</v>
      </c>
      <c r="E65" s="243">
        <f t="shared" ref="E65:F68" si="8">+E51/E31*1000</f>
        <v>612.9669306008384</v>
      </c>
      <c r="F65" s="274">
        <f t="shared" si="8"/>
        <v>641.92189610708579</v>
      </c>
      <c r="G65" s="274">
        <f t="shared" si="7"/>
        <v>675.89016018306631</v>
      </c>
      <c r="H65" s="274">
        <f t="shared" si="7"/>
        <v>663.83059092535734</v>
      </c>
      <c r="I65" s="281">
        <f t="shared" si="6"/>
        <v>-9.3096827397494621</v>
      </c>
      <c r="J65" s="282">
        <f t="shared" si="6"/>
        <v>-3.300344262190686</v>
      </c>
    </row>
    <row r="66" spans="1:19">
      <c r="A66" s="263"/>
      <c r="B66" s="264"/>
      <c r="C66" s="265" t="s">
        <v>0</v>
      </c>
      <c r="D66" s="279" t="s">
        <v>26</v>
      </c>
      <c r="E66" s="239">
        <f t="shared" si="8"/>
        <v>802.78911564625844</v>
      </c>
      <c r="F66" s="240">
        <f t="shared" si="8"/>
        <v>317.45119305856832</v>
      </c>
      <c r="G66" s="240">
        <f t="shared" si="7"/>
        <v>421.08465608465605</v>
      </c>
      <c r="H66" s="240">
        <f t="shared" si="7"/>
        <v>309.18367346938777</v>
      </c>
      <c r="I66" s="241">
        <f>+(E66-G66)/G66*100</f>
        <v>90.647914628564251</v>
      </c>
      <c r="J66" s="242">
        <f t="shared" si="6"/>
        <v>2.6739832334643365</v>
      </c>
    </row>
    <row r="67" spans="1:19">
      <c r="A67" s="263"/>
      <c r="B67" s="264"/>
      <c r="C67" s="269" t="s">
        <v>13</v>
      </c>
      <c r="D67" s="279" t="s">
        <v>26</v>
      </c>
      <c r="E67" s="243">
        <f t="shared" si="8"/>
        <v>635.82957804178614</v>
      </c>
      <c r="F67" s="274">
        <f t="shared" si="8"/>
        <v>608.92002206287918</v>
      </c>
      <c r="G67" s="274">
        <f t="shared" si="7"/>
        <v>638.31057354662505</v>
      </c>
      <c r="H67" s="274">
        <f t="shared" si="7"/>
        <v>633.65224252244695</v>
      </c>
      <c r="I67" s="281">
        <f t="shared" si="6"/>
        <v>-0.38868156155613059</v>
      </c>
      <c r="J67" s="282">
        <f t="shared" si="6"/>
        <v>-3.903122059682703</v>
      </c>
    </row>
    <row r="68" spans="1:19" ht="16.5" customHeight="1" thickBot="1">
      <c r="A68" s="298"/>
      <c r="B68" s="303"/>
      <c r="C68" s="277" t="s">
        <v>14</v>
      </c>
      <c r="D68" s="286" t="s">
        <v>26</v>
      </c>
      <c r="E68" s="244">
        <f t="shared" si="8"/>
        <v>648.14269535673839</v>
      </c>
      <c r="F68" s="287">
        <f t="shared" si="8"/>
        <v>665.89718774906066</v>
      </c>
      <c r="G68" s="274">
        <f t="shared" si="7"/>
        <v>680.57549085985102</v>
      </c>
      <c r="H68" s="274">
        <f t="shared" si="7"/>
        <v>693.34822170356392</v>
      </c>
      <c r="I68" s="299">
        <f t="shared" si="6"/>
        <v>-4.7654956634034038</v>
      </c>
      <c r="J68" s="300">
        <f t="shared" si="6"/>
        <v>-3.9591987251450327</v>
      </c>
    </row>
    <row r="69" spans="1:19" ht="0.75" customHeight="1" thickBot="1">
      <c r="A69" s="289"/>
      <c r="B69" s="289"/>
      <c r="C69" s="206"/>
      <c r="D69" s="206"/>
      <c r="E69" s="304">
        <f>SUM(E57:E68)</f>
        <v>6121.9225471021382</v>
      </c>
      <c r="F69" s="304">
        <f>SUM(F57:F68)</f>
        <v>6148.7879861382562</v>
      </c>
      <c r="G69" s="220" t="e">
        <v>#DIV/0!</v>
      </c>
      <c r="H69" s="219"/>
      <c r="I69" s="220" t="e">
        <f>+(E69-G69)/G69*100</f>
        <v>#DIV/0!</v>
      </c>
      <c r="J69" s="219"/>
    </row>
    <row r="70" spans="1:19" ht="41.25" hidden="1" customHeight="1" thickBot="1">
      <c r="A70" s="305"/>
      <c r="B70" s="305"/>
      <c r="C70" s="306"/>
      <c r="D70" s="306"/>
      <c r="E70" s="307"/>
      <c r="F70" s="307"/>
      <c r="G70" s="226"/>
      <c r="H70" s="227"/>
      <c r="I70" s="226"/>
      <c r="J70" s="227"/>
    </row>
    <row r="71" spans="1:19" ht="23.25" thickBot="1">
      <c r="A71" s="491" t="s">
        <v>1</v>
      </c>
      <c r="B71" s="492"/>
      <c r="C71" s="492"/>
      <c r="D71" s="492"/>
      <c r="E71" s="492"/>
      <c r="F71" s="492"/>
      <c r="G71" s="492"/>
      <c r="H71" s="492"/>
      <c r="I71" s="492"/>
      <c r="J71" s="493"/>
    </row>
    <row r="72" spans="1:19" ht="2.25" hidden="1" customHeight="1" thickBot="1">
      <c r="A72" s="289"/>
      <c r="B72" s="289"/>
      <c r="C72" s="290"/>
      <c r="D72" s="290"/>
      <c r="E72" s="219"/>
      <c r="F72" s="219"/>
      <c r="G72" s="219"/>
      <c r="H72" s="219"/>
      <c r="I72" s="219"/>
      <c r="J72" s="219"/>
    </row>
    <row r="73" spans="1:19" ht="46.5" customHeight="1" thickBot="1">
      <c r="A73" s="494" t="s">
        <v>27</v>
      </c>
      <c r="B73" s="495"/>
      <c r="C73" s="495"/>
      <c r="D73" s="495"/>
      <c r="E73" s="495"/>
      <c r="F73" s="495"/>
      <c r="G73" s="495"/>
      <c r="H73" s="496"/>
      <c r="I73" s="497" t="s">
        <v>20</v>
      </c>
      <c r="J73" s="498"/>
    </row>
    <row r="74" spans="1:19" ht="3" hidden="1" customHeight="1" thickBot="1">
      <c r="A74" s="291"/>
      <c r="B74" s="291"/>
      <c r="C74" s="291"/>
      <c r="D74" s="291"/>
      <c r="E74" s="222"/>
      <c r="F74" s="222"/>
      <c r="G74" s="222"/>
      <c r="H74" s="222"/>
      <c r="I74" s="223"/>
      <c r="J74" s="223"/>
    </row>
    <row r="75" spans="1:19" ht="23.25" customHeight="1" thickBot="1">
      <c r="A75" s="292"/>
      <c r="B75" s="308"/>
      <c r="C75" s="309"/>
      <c r="D75" s="250"/>
      <c r="E75" s="487" t="str">
        <f>E39</f>
        <v>Current Year 20-21</v>
      </c>
      <c r="F75" s="488"/>
      <c r="G75" s="487" t="str">
        <f>G39</f>
        <v>Previous  Year 19-20</v>
      </c>
      <c r="H75" s="488"/>
      <c r="I75" s="489" t="s">
        <v>4</v>
      </c>
      <c r="J75" s="490"/>
    </row>
    <row r="76" spans="1:19" ht="3" hidden="1" customHeight="1" thickBot="1">
      <c r="A76" s="289"/>
      <c r="B76" s="289"/>
      <c r="C76" s="206"/>
      <c r="D76" s="206"/>
      <c r="E76" s="228"/>
      <c r="F76" s="228"/>
      <c r="G76" s="228"/>
      <c r="H76" s="228"/>
      <c r="I76" s="219"/>
      <c r="J76" s="219"/>
    </row>
    <row r="77" spans="1:19" ht="52.5" customHeight="1" thickBot="1">
      <c r="A77" s="292"/>
      <c r="B77" s="308"/>
      <c r="C77" s="310"/>
      <c r="D77" s="295"/>
      <c r="E77" s="229" t="str">
        <f>E41</f>
        <v>4th Quarter Jan'21 to Mar'21</v>
      </c>
      <c r="F77" s="230" t="s">
        <v>131</v>
      </c>
      <c r="G77" s="229" t="str">
        <f>G41</f>
        <v>4th Quarter  Jan'20 to March'21</v>
      </c>
      <c r="H77" s="230" t="str">
        <f>H7</f>
        <v>Cumulative Up to 4th quarter</v>
      </c>
      <c r="I77" s="231" t="str">
        <f>I7</f>
        <v>4th Quarter</v>
      </c>
      <c r="J77" s="230" t="str">
        <f>J7</f>
        <v>Cumulative up to 4th Qtr</v>
      </c>
      <c r="K77" s="388" t="s">
        <v>1263</v>
      </c>
      <c r="L77" s="389" t="s">
        <v>1264</v>
      </c>
      <c r="M77" s="389" t="s">
        <v>1265</v>
      </c>
      <c r="N77" s="396" t="s">
        <v>1266</v>
      </c>
      <c r="O77" s="389" t="s">
        <v>1268</v>
      </c>
      <c r="P77" s="389"/>
      <c r="Q77" s="389"/>
      <c r="R77" s="383"/>
      <c r="S77" s="384"/>
    </row>
    <row r="78" spans="1:19" s="262" customFormat="1" ht="18.75" thickBot="1">
      <c r="A78" s="259" t="s">
        <v>29</v>
      </c>
      <c r="B78" s="296"/>
      <c r="C78" s="261" t="s">
        <v>30</v>
      </c>
      <c r="D78" s="311"/>
      <c r="E78" s="312"/>
      <c r="F78" s="313"/>
      <c r="G78" s="312"/>
      <c r="H78" s="313"/>
      <c r="I78" s="314"/>
      <c r="J78" s="315"/>
      <c r="K78" s="316"/>
      <c r="L78" s="317"/>
      <c r="M78" s="317"/>
      <c r="N78" s="397"/>
      <c r="O78" s="316"/>
      <c r="P78" s="317"/>
      <c r="Q78" s="317"/>
      <c r="R78" s="317"/>
      <c r="S78" s="318"/>
    </row>
    <row r="79" spans="1:19">
      <c r="A79" s="263"/>
      <c r="B79" s="264"/>
      <c r="C79" s="265" t="s">
        <v>8</v>
      </c>
      <c r="D79" s="319" t="s">
        <v>26</v>
      </c>
      <c r="E79" s="320">
        <f>N79/E23*1000</f>
        <v>201.23665555092757</v>
      </c>
      <c r="F79" s="321">
        <f>L81/F23*1000</f>
        <v>121.74449189824728</v>
      </c>
      <c r="G79" s="320">
        <v>188.2458546279444</v>
      </c>
      <c r="H79" s="321">
        <v>118.09466715508691</v>
      </c>
      <c r="I79" s="322">
        <f>+(E79-G79)/G79*100</f>
        <v>6.9009758268826884</v>
      </c>
      <c r="J79" s="323">
        <f>+(F79-H79)/H79*100</f>
        <v>3.0905923451795343</v>
      </c>
      <c r="K79" s="331">
        <v>61241</v>
      </c>
      <c r="L79" s="324">
        <f>+-SUMIFS('Trail Balance'!G:G,'Trail Balance'!B:B,'REVENUE DATA '!K79)/10000000</f>
        <v>1034.1084256270001</v>
      </c>
      <c r="M79" s="325">
        <v>460.01680071800001</v>
      </c>
      <c r="N79" s="398">
        <f>+L81-M79</f>
        <v>574.93312490900007</v>
      </c>
      <c r="O79" s="327">
        <v>4295.4855492590004</v>
      </c>
      <c r="P79" s="324"/>
      <c r="Q79" s="327"/>
      <c r="R79" s="324"/>
      <c r="S79" s="326"/>
    </row>
    <row r="80" spans="1:19">
      <c r="A80" s="263"/>
      <c r="B80" s="264"/>
      <c r="C80" s="265" t="s">
        <v>9</v>
      </c>
      <c r="D80" s="328" t="s">
        <v>26</v>
      </c>
      <c r="E80" s="270"/>
      <c r="F80" s="329"/>
      <c r="G80" s="270"/>
      <c r="H80" s="330"/>
      <c r="I80" s="241"/>
      <c r="J80" s="242"/>
      <c r="K80" s="331">
        <v>61261</v>
      </c>
      <c r="L80" s="324">
        <f>+-SUMIFS('Trail Balance'!G:G,'Trail Balance'!B:B,'REVENUE DATA '!K80)/10000000</f>
        <v>0.84150000000000003</v>
      </c>
      <c r="M80" s="227"/>
      <c r="N80" s="398"/>
      <c r="O80" s="331"/>
      <c r="P80" s="324"/>
      <c r="Q80" s="227"/>
      <c r="R80" s="324"/>
      <c r="S80" s="326"/>
    </row>
    <row r="81" spans="1:19">
      <c r="A81" s="263"/>
      <c r="B81" s="264"/>
      <c r="C81" s="265" t="s">
        <v>10</v>
      </c>
      <c r="D81" s="328" t="s">
        <v>26</v>
      </c>
      <c r="E81" s="270"/>
      <c r="F81" s="329"/>
      <c r="G81" s="270"/>
      <c r="H81" s="271"/>
      <c r="I81" s="332"/>
      <c r="J81" s="242"/>
      <c r="K81" s="331"/>
      <c r="L81" s="324">
        <f>+L79+L80</f>
        <v>1034.9499256270001</v>
      </c>
      <c r="M81" s="227"/>
      <c r="N81" s="398"/>
      <c r="O81" s="331"/>
      <c r="P81" s="324"/>
      <c r="Q81" s="227"/>
      <c r="R81" s="324"/>
      <c r="S81" s="326"/>
    </row>
    <row r="82" spans="1:19">
      <c r="A82" s="263"/>
      <c r="B82" s="264"/>
      <c r="C82" s="269" t="s">
        <v>11</v>
      </c>
      <c r="D82" s="328" t="s">
        <v>26</v>
      </c>
      <c r="E82" s="272">
        <f>+E79</f>
        <v>201.23665555092757</v>
      </c>
      <c r="F82" s="333">
        <f>+F79</f>
        <v>121.74449189824728</v>
      </c>
      <c r="G82" s="272">
        <f>+G79</f>
        <v>188.2458546279444</v>
      </c>
      <c r="H82" s="273">
        <f>+H79</f>
        <v>118.09466715508691</v>
      </c>
      <c r="I82" s="334">
        <f t="shared" ref="I82:J90" si="9">+(E82-G82)/G82*100</f>
        <v>6.9009758268826884</v>
      </c>
      <c r="J82" s="282">
        <f t="shared" si="9"/>
        <v>3.0905923451795343</v>
      </c>
      <c r="K82" s="331"/>
      <c r="L82" s="324"/>
      <c r="M82" s="227">
        <v>460.02</v>
      </c>
      <c r="N82" s="398">
        <v>574.92999999999995</v>
      </c>
      <c r="O82" s="331">
        <v>4295.4855492590004</v>
      </c>
      <c r="P82" s="324"/>
      <c r="Q82" s="227"/>
      <c r="R82" s="324"/>
      <c r="S82" s="326"/>
    </row>
    <row r="83" spans="1:19">
      <c r="A83" s="263"/>
      <c r="B83" s="264"/>
      <c r="C83" s="265" t="s">
        <v>37</v>
      </c>
      <c r="D83" s="328" t="s">
        <v>26</v>
      </c>
      <c r="E83" s="270">
        <f t="shared" ref="E83:E88" si="10">N83/E27*1000</f>
        <v>65.021220993119272</v>
      </c>
      <c r="F83" s="329">
        <f>L83/F27*1000</f>
        <v>17.613287493574052</v>
      </c>
      <c r="G83" s="270">
        <v>28.395810793406596</v>
      </c>
      <c r="H83" s="271">
        <v>14.190909559937403</v>
      </c>
      <c r="I83" s="332">
        <f t="shared" si="9"/>
        <v>128.98173771539908</v>
      </c>
      <c r="J83" s="242">
        <f t="shared" si="9"/>
        <v>24.116691880684119</v>
      </c>
      <c r="K83" s="331">
        <v>61211</v>
      </c>
      <c r="L83" s="324">
        <f>+-SUMIFS('Trail Balance'!G:G,'Trail Balance'!B:B,'REVENUE DATA '!K83)/10000000</f>
        <v>57.560223528999998</v>
      </c>
      <c r="M83" s="325">
        <v>29.210971175999997</v>
      </c>
      <c r="N83" s="398">
        <f>+L83-M83</f>
        <v>28.349252353000001</v>
      </c>
      <c r="O83" s="327">
        <v>1730.0342834210001</v>
      </c>
      <c r="P83" s="324"/>
      <c r="Q83" s="327"/>
      <c r="R83" s="324"/>
      <c r="S83" s="326"/>
    </row>
    <row r="84" spans="1:19">
      <c r="A84" s="263"/>
      <c r="B84" s="264"/>
      <c r="C84" s="265" t="s">
        <v>126</v>
      </c>
      <c r="D84" s="328" t="s">
        <v>26</v>
      </c>
      <c r="E84" s="270">
        <f t="shared" si="10"/>
        <v>62.784665799999999</v>
      </c>
      <c r="F84" s="329">
        <f>L84/F28*1000</f>
        <v>26.978156318681318</v>
      </c>
      <c r="G84" s="270">
        <v>32.182874500000018</v>
      </c>
      <c r="H84" s="271">
        <v>22.240056440677971</v>
      </c>
      <c r="I84" s="332">
        <f t="shared" si="9"/>
        <v>95.0871908598468</v>
      </c>
      <c r="J84" s="242">
        <f t="shared" si="9"/>
        <v>21.304351860084168</v>
      </c>
      <c r="K84" s="331">
        <v>61221</v>
      </c>
      <c r="L84" s="324">
        <f>+-SUMIFS('Trail Balance'!G:G,'Trail Balance'!B:B,'REVENUE DATA '!K84)/10000000</f>
        <v>2.4550122249999999</v>
      </c>
      <c r="M84" s="325">
        <v>1.199318909</v>
      </c>
      <c r="N84" s="398">
        <f t="shared" ref="N84:N88" si="11">+L84-M84</f>
        <v>1.2556933159999999</v>
      </c>
      <c r="O84" s="327">
        <v>46.345142422000002</v>
      </c>
      <c r="P84" s="324"/>
      <c r="Q84" s="327"/>
      <c r="R84" s="324"/>
      <c r="S84" s="326"/>
    </row>
    <row r="85" spans="1:19">
      <c r="A85" s="263"/>
      <c r="B85" s="264"/>
      <c r="C85" s="265" t="s">
        <v>127</v>
      </c>
      <c r="D85" s="328" t="s">
        <v>26</v>
      </c>
      <c r="E85" s="270">
        <f t="shared" si="10"/>
        <v>101.13938095532434</v>
      </c>
      <c r="F85" s="329">
        <f>L85/F29*1000</f>
        <v>65.915956610438229</v>
      </c>
      <c r="G85" s="270">
        <v>58.145782544171794</v>
      </c>
      <c r="H85" s="271">
        <v>50.223699040850775</v>
      </c>
      <c r="I85" s="332">
        <f t="shared" si="9"/>
        <v>73.941043580403203</v>
      </c>
      <c r="J85" s="242">
        <f t="shared" si="9"/>
        <v>31.24472683070146</v>
      </c>
      <c r="K85" s="331">
        <v>61231</v>
      </c>
      <c r="L85" s="324">
        <f>+-SUMIFS('Trail Balance'!G:G,'Trail Balance'!B:B,'REVENUE DATA '!K85)/10000000</f>
        <v>299.32435896799996</v>
      </c>
      <c r="M85" s="325">
        <v>134.062610487</v>
      </c>
      <c r="N85" s="398">
        <f t="shared" si="11"/>
        <v>165.26174848099996</v>
      </c>
      <c r="O85" s="327">
        <v>2033.9793782910001</v>
      </c>
      <c r="P85" s="324"/>
      <c r="Q85" s="327"/>
      <c r="R85" s="324"/>
      <c r="S85" s="326"/>
    </row>
    <row r="86" spans="1:19">
      <c r="A86" s="263"/>
      <c r="B86" s="264"/>
      <c r="C86" s="265" t="s">
        <v>36</v>
      </c>
      <c r="D86" s="328" t="s">
        <v>26</v>
      </c>
      <c r="E86" s="270">
        <f t="shared" si="10"/>
        <v>36.093197789473692</v>
      </c>
      <c r="F86" s="329">
        <f>L86/F30*1000</f>
        <v>11.527436921810699</v>
      </c>
      <c r="G86" s="270">
        <v>8.7309773749999984</v>
      </c>
      <c r="H86" s="271">
        <v>9.0820238557377042</v>
      </c>
      <c r="I86" s="332">
        <f t="shared" si="9"/>
        <v>313.39241002756233</v>
      </c>
      <c r="J86" s="242">
        <f t="shared" si="9"/>
        <v>26.925860413018714</v>
      </c>
      <c r="K86" s="331">
        <v>61281</v>
      </c>
      <c r="L86" s="324">
        <f>+-SUMIFS('Trail Balance'!G:G,'Trail Balance'!B:B,'REVENUE DATA '!K86)/10000000</f>
        <v>2.801167172</v>
      </c>
      <c r="M86" s="325">
        <v>0.74385489800000004</v>
      </c>
      <c r="N86" s="398">
        <f t="shared" si="11"/>
        <v>2.0573122740000001</v>
      </c>
      <c r="O86" s="327">
        <v>100.77277898</v>
      </c>
      <c r="P86" s="324"/>
      <c r="Q86" s="327"/>
      <c r="R86" s="324"/>
      <c r="S86" s="326"/>
    </row>
    <row r="87" spans="1:19">
      <c r="A87" s="263"/>
      <c r="B87" s="264"/>
      <c r="C87" s="269" t="s">
        <v>12</v>
      </c>
      <c r="D87" s="328" t="s">
        <v>26</v>
      </c>
      <c r="E87" s="272">
        <f t="shared" si="10"/>
        <v>91.720543280856973</v>
      </c>
      <c r="F87" s="333">
        <f t="shared" ref="F87:F88" si="12">L87/F31*1000</f>
        <v>44.472646677391623</v>
      </c>
      <c r="G87" s="272">
        <v>50</v>
      </c>
      <c r="H87" s="273">
        <v>37</v>
      </c>
      <c r="I87" s="334">
        <f t="shared" si="9"/>
        <v>83.441086561713945</v>
      </c>
      <c r="J87" s="282">
        <f t="shared" si="9"/>
        <v>20.196342371328711</v>
      </c>
      <c r="K87" s="331"/>
      <c r="L87" s="336">
        <f>+SUM(L83:L86)</f>
        <v>362.14076189399998</v>
      </c>
      <c r="M87" s="336">
        <f>+SUM(M83:M86)</f>
        <v>165.21675546999998</v>
      </c>
      <c r="N87" s="398">
        <f>+SUM(N83:N86)</f>
        <v>196.92400642399994</v>
      </c>
      <c r="O87" s="338">
        <v>3911.131583114</v>
      </c>
      <c r="P87" s="336"/>
      <c r="Q87" s="337"/>
      <c r="R87" s="324"/>
      <c r="S87" s="326"/>
    </row>
    <row r="88" spans="1:19">
      <c r="A88" s="263"/>
      <c r="B88" s="264"/>
      <c r="C88" s="265" t="s">
        <v>0</v>
      </c>
      <c r="D88" s="328" t="s">
        <v>26</v>
      </c>
      <c r="E88" s="270">
        <f t="shared" si="10"/>
        <v>39.836458425170065</v>
      </c>
      <c r="F88" s="329">
        <f t="shared" si="12"/>
        <v>24.729034633405639</v>
      </c>
      <c r="G88" s="270">
        <v>13.68784335185185</v>
      </c>
      <c r="H88" s="271">
        <v>19.694780631519272</v>
      </c>
      <c r="I88" s="332">
        <f t="shared" si="9"/>
        <v>191.03531799098599</v>
      </c>
      <c r="J88" s="242">
        <f t="shared" si="9"/>
        <v>25.561361134582082</v>
      </c>
      <c r="K88" s="331">
        <v>61271</v>
      </c>
      <c r="L88" s="324">
        <f>+-SUMIFS('Trail Balance'!G:G,'Trail Balance'!B:B,'REVENUE DATA '!K88)/10000000</f>
        <v>22.800169931999999</v>
      </c>
      <c r="M88" s="325">
        <v>11.088251155</v>
      </c>
      <c r="N88" s="398">
        <f t="shared" si="11"/>
        <v>11.711918776999999</v>
      </c>
      <c r="O88" s="327">
        <v>56.672158879999998</v>
      </c>
      <c r="P88" s="324"/>
      <c r="Q88" s="327"/>
      <c r="R88" s="324"/>
      <c r="S88" s="326"/>
    </row>
    <row r="89" spans="1:19">
      <c r="A89" s="263"/>
      <c r="B89" s="264"/>
      <c r="C89" s="269" t="s">
        <v>13</v>
      </c>
      <c r="D89" s="328" t="s">
        <v>26</v>
      </c>
      <c r="E89" s="270">
        <f>N89/$E$33*1000</f>
        <v>85.471497419500182</v>
      </c>
      <c r="F89" s="329">
        <f>L89/$F$33*1000</f>
        <v>42.464526401103143</v>
      </c>
      <c r="G89" s="270">
        <v>44.489365879047959</v>
      </c>
      <c r="H89" s="271">
        <v>35.14887856102267</v>
      </c>
      <c r="I89" s="332">
        <f t="shared" si="9"/>
        <v>92.116690653378257</v>
      </c>
      <c r="J89" s="242">
        <f t="shared" si="9"/>
        <v>20.813317919601989</v>
      </c>
      <c r="K89" s="331"/>
      <c r="L89" s="336">
        <f>+L87+L88</f>
        <v>384.940931826</v>
      </c>
      <c r="M89" s="336">
        <f>+M87+M88</f>
        <v>176.30500662499998</v>
      </c>
      <c r="N89" s="398">
        <f>+N87+N88</f>
        <v>208.63592520099994</v>
      </c>
      <c r="O89" s="338">
        <v>3967.8037419940001</v>
      </c>
      <c r="P89" s="336"/>
      <c r="Q89" s="337"/>
      <c r="R89" s="324"/>
      <c r="S89" s="326"/>
    </row>
    <row r="90" spans="1:19" ht="18" customHeight="1" thickBot="1">
      <c r="A90" s="298"/>
      <c r="B90" s="264"/>
      <c r="C90" s="277" t="s">
        <v>14</v>
      </c>
      <c r="D90" s="339" t="s">
        <v>26</v>
      </c>
      <c r="E90" s="272">
        <f>N90/E34*1000</f>
        <v>147.89902795583239</v>
      </c>
      <c r="F90" s="333">
        <f>L90/F34*1000</f>
        <v>80.831769182113177</v>
      </c>
      <c r="G90" s="272">
        <v>105.09354574430157</v>
      </c>
      <c r="H90" s="273">
        <v>74.436439529766645</v>
      </c>
      <c r="I90" s="334">
        <f t="shared" si="9"/>
        <v>40.730838329195727</v>
      </c>
      <c r="J90" s="282">
        <f t="shared" si="9"/>
        <v>8.5916651746744037</v>
      </c>
      <c r="K90" s="340"/>
      <c r="L90" s="341">
        <f>+L89+L81</f>
        <v>1419.8908574530001</v>
      </c>
      <c r="M90" s="341">
        <f>+M89+M82</f>
        <v>636.32500662500001</v>
      </c>
      <c r="N90" s="399">
        <f>+N89+N79</f>
        <v>783.56905011000003</v>
      </c>
      <c r="O90" s="340">
        <v>8263.2892912530006</v>
      </c>
      <c r="P90" s="341"/>
      <c r="Q90" s="342"/>
      <c r="R90" s="341"/>
      <c r="S90" s="343"/>
    </row>
    <row r="91" spans="1:19" ht="2.25" hidden="1" customHeight="1" thickBot="1">
      <c r="A91" s="289"/>
      <c r="B91" s="301"/>
      <c r="C91" s="290"/>
      <c r="D91" s="290"/>
      <c r="E91" s="232"/>
      <c r="F91" s="233"/>
      <c r="G91" s="233"/>
      <c r="H91" s="233"/>
      <c r="I91" s="234" t="e">
        <f>+(E91-G91)/G91*100</f>
        <v>#DIV/0!</v>
      </c>
      <c r="J91" s="233"/>
    </row>
    <row r="92" spans="1:19" s="262" customFormat="1" ht="18.75" thickBot="1">
      <c r="A92" s="344" t="s">
        <v>31</v>
      </c>
      <c r="B92" s="345"/>
      <c r="C92" s="346" t="s">
        <v>32</v>
      </c>
      <c r="D92" s="346"/>
      <c r="E92" s="235"/>
      <c r="F92" s="235"/>
      <c r="G92" s="235"/>
      <c r="H92" s="235"/>
      <c r="I92" s="235"/>
      <c r="J92" s="236"/>
      <c r="K92" s="316"/>
      <c r="L92" s="317"/>
      <c r="M92" s="317"/>
      <c r="N92" s="397"/>
      <c r="O92" s="316"/>
      <c r="P92" s="317"/>
      <c r="Q92" s="317"/>
      <c r="R92" s="317"/>
      <c r="S92" s="318"/>
    </row>
    <row r="93" spans="1:19">
      <c r="A93" s="347"/>
      <c r="B93" s="348"/>
      <c r="C93" s="349" t="s">
        <v>8</v>
      </c>
      <c r="D93" s="297" t="s">
        <v>26</v>
      </c>
      <c r="E93" s="329">
        <f>+N93/E23*1000</f>
        <v>457.42627759572986</v>
      </c>
      <c r="F93" s="329">
        <f>+L93/F23*1000</f>
        <v>604.91001933572522</v>
      </c>
      <c r="G93" s="270">
        <v>858.43677092130588</v>
      </c>
      <c r="H93" s="271">
        <v>641.58962903332656</v>
      </c>
      <c r="I93" s="350">
        <f>+(E93-G93)/G93*100</f>
        <v>-46.714039625212791</v>
      </c>
      <c r="J93" s="351">
        <f>+(F93-H93)/H93*100</f>
        <v>-5.7169891840156382</v>
      </c>
      <c r="K93" s="327"/>
      <c r="L93" s="392">
        <f>+F43-L81</f>
        <v>5142.3400743729999</v>
      </c>
      <c r="M93" s="327"/>
      <c r="N93" s="398">
        <f>+E43-N79</f>
        <v>1306.8668750910001</v>
      </c>
      <c r="O93" s="327"/>
      <c r="P93" s="324"/>
      <c r="Q93" s="327"/>
      <c r="R93" s="324"/>
      <c r="S93" s="326"/>
    </row>
    <row r="94" spans="1:19">
      <c r="A94" s="263"/>
      <c r="B94" s="264"/>
      <c r="C94" s="265" t="s">
        <v>9</v>
      </c>
      <c r="D94" s="279" t="s">
        <v>26</v>
      </c>
      <c r="E94" s="270">
        <f t="shared" ref="E94:E95" si="13">N94/$E$33*1000</f>
        <v>0</v>
      </c>
      <c r="F94" s="242"/>
      <c r="G94" s="270">
        <v>0</v>
      </c>
      <c r="H94" s="271"/>
      <c r="I94" s="241"/>
      <c r="J94" s="242"/>
      <c r="K94" s="331"/>
      <c r="L94" s="392"/>
      <c r="M94" s="227"/>
      <c r="N94" s="398"/>
      <c r="O94" s="331"/>
      <c r="P94" s="324"/>
      <c r="Q94" s="227"/>
      <c r="R94" s="324"/>
      <c r="S94" s="326"/>
    </row>
    <row r="95" spans="1:19">
      <c r="A95" s="263"/>
      <c r="B95" s="264"/>
      <c r="C95" s="265" t="s">
        <v>10</v>
      </c>
      <c r="D95" s="279" t="s">
        <v>26</v>
      </c>
      <c r="E95" s="270">
        <f t="shared" si="13"/>
        <v>0</v>
      </c>
      <c r="F95" s="240"/>
      <c r="G95" s="270">
        <v>0</v>
      </c>
      <c r="H95" s="271"/>
      <c r="I95" s="241"/>
      <c r="J95" s="242"/>
      <c r="K95" s="331"/>
      <c r="L95" s="392"/>
      <c r="M95" s="227"/>
      <c r="N95" s="398"/>
      <c r="O95" s="331"/>
      <c r="P95" s="324"/>
      <c r="Q95" s="227"/>
      <c r="R95" s="324"/>
      <c r="S95" s="326"/>
    </row>
    <row r="96" spans="1:19">
      <c r="A96" s="263"/>
      <c r="B96" s="264"/>
      <c r="C96" s="269" t="s">
        <v>11</v>
      </c>
      <c r="D96" s="328" t="s">
        <v>26</v>
      </c>
      <c r="E96" s="272">
        <f>+E93</f>
        <v>457.42627759572986</v>
      </c>
      <c r="F96" s="390">
        <f>F93</f>
        <v>604.91001933572522</v>
      </c>
      <c r="G96" s="272">
        <f>+G93</f>
        <v>858.43677092130588</v>
      </c>
      <c r="H96" s="273">
        <f>+H93</f>
        <v>641.58962903332656</v>
      </c>
      <c r="I96" s="281">
        <f t="shared" ref="I96:J104" si="14">+(E96-G96)/G96*100</f>
        <v>-46.714039625212791</v>
      </c>
      <c r="J96" s="282">
        <f t="shared" si="14"/>
        <v>-5.7169891840156382</v>
      </c>
      <c r="K96" s="331"/>
      <c r="L96" s="392"/>
      <c r="M96" s="227"/>
      <c r="N96" s="398">
        <f>+E46-N82</f>
        <v>1306.8700000000003</v>
      </c>
      <c r="O96" s="331"/>
      <c r="P96" s="324"/>
      <c r="Q96" s="227"/>
      <c r="R96" s="324"/>
      <c r="S96" s="326"/>
    </row>
    <row r="97" spans="1:19">
      <c r="A97" s="263"/>
      <c r="B97" s="264"/>
      <c r="C97" s="265" t="s">
        <v>37</v>
      </c>
      <c r="D97" s="328" t="s">
        <v>26</v>
      </c>
      <c r="E97" s="329">
        <f t="shared" ref="E97:E104" si="15">+N97/E27*1000</f>
        <v>114.90997166743131</v>
      </c>
      <c r="F97" s="329">
        <f>+L97/F27*1000</f>
        <v>535.77716538280299</v>
      </c>
      <c r="G97" s="270">
        <v>1095.7021513164837</v>
      </c>
      <c r="H97" s="271">
        <v>562.2817967680752</v>
      </c>
      <c r="I97" s="241">
        <f t="shared" si="14"/>
        <v>-89.512663498071319</v>
      </c>
      <c r="J97" s="242">
        <f t="shared" si="14"/>
        <v>-4.7137630166257347</v>
      </c>
      <c r="K97" s="327"/>
      <c r="L97" s="392">
        <f>+F47-L83</f>
        <v>1750.919776471</v>
      </c>
      <c r="M97" s="327"/>
      <c r="N97" s="398">
        <f t="shared" ref="N97:N104" si="16">+E47-N83</f>
        <v>50.100747647000048</v>
      </c>
      <c r="O97" s="327"/>
      <c r="P97" s="324"/>
      <c r="Q97" s="327"/>
      <c r="R97" s="324"/>
      <c r="S97" s="326"/>
    </row>
    <row r="98" spans="1:19">
      <c r="A98" s="263"/>
      <c r="B98" s="264"/>
      <c r="C98" s="265" t="s">
        <v>126</v>
      </c>
      <c r="D98" s="328" t="s">
        <v>26</v>
      </c>
      <c r="E98" s="329">
        <f t="shared" si="15"/>
        <v>373.21533419999992</v>
      </c>
      <c r="F98" s="329">
        <f t="shared" ref="F98:F104" si="17">+L98/F28*1000</f>
        <v>578.18667884615388</v>
      </c>
      <c r="G98" s="270">
        <v>863.0557365833331</v>
      </c>
      <c r="H98" s="271">
        <v>582.56502633898299</v>
      </c>
      <c r="I98" s="241">
        <f t="shared" si="14"/>
        <v>-56.756520073954256</v>
      </c>
      <c r="J98" s="242">
        <f t="shared" si="14"/>
        <v>-0.75156373878878102</v>
      </c>
      <c r="K98" s="327"/>
      <c r="L98" s="392">
        <f t="shared" ref="L98:L104" si="18">+F48-L84</f>
        <v>52.614987775000003</v>
      </c>
      <c r="M98" s="327"/>
      <c r="N98" s="398">
        <f t="shared" si="16"/>
        <v>7.4643066839999985</v>
      </c>
      <c r="O98" s="327"/>
      <c r="P98" s="324"/>
      <c r="Q98" s="327"/>
      <c r="R98" s="324"/>
      <c r="S98" s="326"/>
    </row>
    <row r="99" spans="1:19">
      <c r="A99" s="263"/>
      <c r="B99" s="264"/>
      <c r="C99" s="265" t="s">
        <v>127</v>
      </c>
      <c r="D99" s="328" t="s">
        <v>26</v>
      </c>
      <c r="E99" s="329">
        <f t="shared" si="15"/>
        <v>624.28901561750308</v>
      </c>
      <c r="F99" s="329">
        <f t="shared" si="17"/>
        <v>643.03141181061437</v>
      </c>
      <c r="G99" s="270">
        <v>809.74497453803679</v>
      </c>
      <c r="H99" s="271">
        <v>664.10816535178924</v>
      </c>
      <c r="I99" s="241">
        <f t="shared" si="14"/>
        <v>-22.903008323866064</v>
      </c>
      <c r="J99" s="242">
        <f t="shared" si="14"/>
        <v>-3.1736928772755197</v>
      </c>
      <c r="K99" s="327"/>
      <c r="L99" s="392">
        <f t="shared" si="18"/>
        <v>2920.0056410319999</v>
      </c>
      <c r="M99" s="327"/>
      <c r="N99" s="398">
        <f t="shared" si="16"/>
        <v>1020.088251519</v>
      </c>
      <c r="O99" s="327"/>
      <c r="P99" s="324"/>
      <c r="Q99" s="327"/>
      <c r="R99" s="324"/>
      <c r="S99" s="326"/>
    </row>
    <row r="100" spans="1:19">
      <c r="A100" s="263"/>
      <c r="B100" s="264"/>
      <c r="C100" s="265" t="s">
        <v>36</v>
      </c>
      <c r="D100" s="328" t="s">
        <v>26</v>
      </c>
      <c r="E100" s="329">
        <f t="shared" si="15"/>
        <v>727.41557414035083</v>
      </c>
      <c r="F100" s="329">
        <f t="shared" si="17"/>
        <v>582.25857130864199</v>
      </c>
      <c r="G100" s="270">
        <v>788.62541049999982</v>
      </c>
      <c r="H100" s="271">
        <v>600.43078904918036</v>
      </c>
      <c r="I100" s="241">
        <f t="shared" si="14"/>
        <v>-7.7615856076513028</v>
      </c>
      <c r="J100" s="242">
        <f t="shared" si="14"/>
        <v>-3.0265299634809222</v>
      </c>
      <c r="K100" s="327"/>
      <c r="L100" s="392">
        <f t="shared" si="18"/>
        <v>141.488832828</v>
      </c>
      <c r="M100" s="327"/>
      <c r="N100" s="398">
        <f t="shared" si="16"/>
        <v>41.462687725999999</v>
      </c>
      <c r="O100" s="327"/>
      <c r="P100" s="324"/>
      <c r="Q100" s="327"/>
      <c r="R100" s="324"/>
      <c r="S100" s="326"/>
    </row>
    <row r="101" spans="1:19">
      <c r="A101" s="263"/>
      <c r="B101" s="264"/>
      <c r="C101" s="269" t="s">
        <v>12</v>
      </c>
      <c r="D101" s="328" t="s">
        <v>26</v>
      </c>
      <c r="E101" s="391">
        <f t="shared" si="15"/>
        <v>521.2463873199813</v>
      </c>
      <c r="F101" s="391">
        <f t="shared" si="17"/>
        <v>597.44924942969419</v>
      </c>
      <c r="G101" s="272">
        <v>846</v>
      </c>
      <c r="H101" s="273">
        <v>597</v>
      </c>
      <c r="I101" s="281">
        <f>SUM(I97:I100)</f>
        <v>-176.93377750354296</v>
      </c>
      <c r="J101" s="281">
        <f>SUM(J97:J100)</f>
        <v>-11.665549596170958</v>
      </c>
      <c r="K101" s="335"/>
      <c r="L101" s="392">
        <f t="shared" si="18"/>
        <v>4865.0292381059999</v>
      </c>
      <c r="M101" s="337"/>
      <c r="N101" s="398">
        <f t="shared" si="16"/>
        <v>1119.1159935759999</v>
      </c>
      <c r="O101" s="338"/>
      <c r="P101" s="336"/>
      <c r="Q101" s="337"/>
      <c r="R101" s="324"/>
      <c r="S101" s="326"/>
    </row>
    <row r="102" spans="1:19">
      <c r="A102" s="263"/>
      <c r="B102" s="264"/>
      <c r="C102" s="265" t="s">
        <v>0</v>
      </c>
      <c r="D102" s="328" t="s">
        <v>26</v>
      </c>
      <c r="E102" s="329">
        <f t="shared" si="15"/>
        <v>762.95265722108843</v>
      </c>
      <c r="F102" s="329">
        <f t="shared" si="17"/>
        <v>292.72215842516272</v>
      </c>
      <c r="G102" s="270">
        <v>605.71118403968251</v>
      </c>
      <c r="H102" s="271">
        <v>289.49437794671201</v>
      </c>
      <c r="I102" s="241">
        <f t="shared" si="14"/>
        <v>25.95981010829485</v>
      </c>
      <c r="J102" s="242">
        <f t="shared" si="14"/>
        <v>1.1149717315217973</v>
      </c>
      <c r="K102" s="327"/>
      <c r="L102" s="392">
        <f t="shared" si="18"/>
        <v>269.88983006799998</v>
      </c>
      <c r="M102" s="327"/>
      <c r="N102" s="398">
        <f t="shared" si="16"/>
        <v>224.30808122299999</v>
      </c>
      <c r="O102" s="327"/>
      <c r="P102" s="324"/>
      <c r="Q102" s="327"/>
      <c r="R102" s="324"/>
      <c r="S102" s="326"/>
    </row>
    <row r="103" spans="1:19">
      <c r="A103" s="263"/>
      <c r="B103" s="264"/>
      <c r="C103" s="269" t="s">
        <v>13</v>
      </c>
      <c r="D103" s="328" t="s">
        <v>26</v>
      </c>
      <c r="E103" s="391">
        <f t="shared" si="15"/>
        <v>550.35808062228602</v>
      </c>
      <c r="F103" s="391">
        <f t="shared" si="17"/>
        <v>566.45549566177613</v>
      </c>
      <c r="G103" s="272">
        <v>829.94277014280101</v>
      </c>
      <c r="H103" s="273">
        <v>598.5049571424023</v>
      </c>
      <c r="I103" s="281">
        <f t="shared" si="14"/>
        <v>-33.687225141127414</v>
      </c>
      <c r="J103" s="282">
        <f t="shared" si="14"/>
        <v>-5.354919971531773</v>
      </c>
      <c r="K103" s="335"/>
      <c r="L103" s="392">
        <f t="shared" si="18"/>
        <v>5134.9190681740001</v>
      </c>
      <c r="M103" s="337"/>
      <c r="N103" s="398">
        <f t="shared" si="16"/>
        <v>1343.424074799</v>
      </c>
      <c r="O103" s="338"/>
      <c r="P103" s="336"/>
      <c r="Q103" s="337"/>
      <c r="R103" s="324"/>
      <c r="S103" s="326"/>
    </row>
    <row r="104" spans="1:19" ht="16.5" customHeight="1" thickBot="1">
      <c r="A104" s="298"/>
      <c r="B104" s="303"/>
      <c r="C104" s="277" t="s">
        <v>14</v>
      </c>
      <c r="D104" s="339" t="s">
        <v>26</v>
      </c>
      <c r="E104" s="391">
        <f t="shared" si="15"/>
        <v>500.24366740090596</v>
      </c>
      <c r="F104" s="391">
        <f t="shared" si="17"/>
        <v>585.06541856694753</v>
      </c>
      <c r="G104" s="272">
        <v>841.95513607695739</v>
      </c>
      <c r="H104" s="273">
        <v>618.91216168435972</v>
      </c>
      <c r="I104" s="299">
        <f t="shared" si="14"/>
        <v>-40.585472317234952</v>
      </c>
      <c r="J104" s="300">
        <f t="shared" si="14"/>
        <v>-5.4687474593000092</v>
      </c>
      <c r="K104" s="342"/>
      <c r="L104" s="392">
        <f t="shared" si="18"/>
        <v>10277.259142547</v>
      </c>
      <c r="M104" s="342"/>
      <c r="N104" s="398">
        <f t="shared" si="16"/>
        <v>2650.2909498899999</v>
      </c>
      <c r="O104" s="340"/>
      <c r="P104" s="341"/>
      <c r="Q104" s="342"/>
      <c r="R104" s="341"/>
      <c r="S104" s="343"/>
    </row>
    <row r="105" spans="1:19" ht="3" hidden="1" customHeight="1" thickBot="1">
      <c r="A105" s="252"/>
      <c r="B105" s="253"/>
      <c r="C105" s="290"/>
      <c r="D105" s="290"/>
      <c r="E105" s="233"/>
      <c r="F105" s="233"/>
      <c r="G105" s="233"/>
      <c r="H105" s="233"/>
      <c r="I105" s="233"/>
      <c r="J105" s="233"/>
      <c r="K105" s="280"/>
    </row>
    <row r="106" spans="1:19" s="262" customFormat="1" ht="18">
      <c r="A106" s="259" t="s">
        <v>33</v>
      </c>
      <c r="B106" s="260"/>
      <c r="C106" s="261" t="s">
        <v>34</v>
      </c>
      <c r="D106" s="261"/>
      <c r="E106" s="237"/>
      <c r="F106" s="238"/>
      <c r="G106" s="237"/>
      <c r="H106" s="238"/>
      <c r="I106" s="237"/>
      <c r="J106" s="238"/>
      <c r="K106" s="280"/>
      <c r="N106" s="395"/>
    </row>
    <row r="107" spans="1:19">
      <c r="A107" s="263"/>
      <c r="B107" s="264"/>
      <c r="C107" s="265" t="s">
        <v>8</v>
      </c>
      <c r="D107" s="279" t="s">
        <v>35</v>
      </c>
      <c r="E107" s="239">
        <f>+E23*10^6/E9</f>
        <v>643468.46846846852</v>
      </c>
      <c r="F107" s="240">
        <f>+F23*10^6/F9</f>
        <v>1914639.6396396395</v>
      </c>
      <c r="G107" s="239">
        <v>442968.93526203465</v>
      </c>
      <c r="H107" s="239">
        <v>2211844.9134455775</v>
      </c>
      <c r="I107" s="241">
        <f>+(E107-G107)/G107*100</f>
        <v>45.262662287555223</v>
      </c>
      <c r="J107" s="242">
        <f>+(F107-H107)/H107*100</f>
        <v>-13.436985206298042</v>
      </c>
      <c r="K107" s="280"/>
    </row>
    <row r="108" spans="1:19">
      <c r="A108" s="263"/>
      <c r="B108" s="264"/>
      <c r="C108" s="265" t="s">
        <v>9</v>
      </c>
      <c r="D108" s="279" t="s">
        <v>35</v>
      </c>
      <c r="E108" s="239"/>
      <c r="F108" s="240"/>
      <c r="G108" s="239"/>
      <c r="H108" s="239"/>
      <c r="I108" s="241"/>
      <c r="J108" s="242"/>
      <c r="K108" s="280"/>
    </row>
    <row r="109" spans="1:19">
      <c r="A109" s="263"/>
      <c r="B109" s="264"/>
      <c r="C109" s="265" t="s">
        <v>10</v>
      </c>
      <c r="D109" s="279" t="s">
        <v>35</v>
      </c>
      <c r="E109" s="239"/>
      <c r="F109" s="240"/>
      <c r="G109" s="239"/>
      <c r="H109" s="239"/>
      <c r="I109" s="241"/>
      <c r="J109" s="242"/>
    </row>
    <row r="110" spans="1:19">
      <c r="A110" s="263"/>
      <c r="B110" s="264"/>
      <c r="C110" s="269" t="s">
        <v>11</v>
      </c>
      <c r="D110" s="279" t="s">
        <v>35</v>
      </c>
      <c r="E110" s="239">
        <f>E107</f>
        <v>643468.46846846852</v>
      </c>
      <c r="F110" s="240">
        <f>F107</f>
        <v>1914639.6396396395</v>
      </c>
      <c r="G110" s="243">
        <f>G107</f>
        <v>442968.93526203465</v>
      </c>
      <c r="H110" s="243">
        <f>H107</f>
        <v>2211844.9134455775</v>
      </c>
      <c r="I110" s="241">
        <f t="shared" ref="I110:J118" si="19">+(E110-G110)/G110*100</f>
        <v>45.262662287555223</v>
      </c>
      <c r="J110" s="242">
        <f t="shared" si="19"/>
        <v>-13.436985206298042</v>
      </c>
    </row>
    <row r="111" spans="1:19">
      <c r="A111" s="263"/>
      <c r="B111" s="264"/>
      <c r="C111" s="265" t="s">
        <v>37</v>
      </c>
      <c r="D111" s="279" t="s">
        <v>35</v>
      </c>
      <c r="E111" s="239">
        <f>+E27*10^6/E13</f>
        <v>161.27200706341799</v>
      </c>
      <c r="F111" s="240">
        <f t="shared" ref="E111:H118" si="20">+F27*10^6/F13</f>
        <v>1208.8002731267202</v>
      </c>
      <c r="G111" s="239">
        <f>+G27*10^6/G13</f>
        <v>171.06523638583894</v>
      </c>
      <c r="H111" s="240">
        <f t="shared" si="20"/>
        <v>1201.2163302258361</v>
      </c>
      <c r="I111" s="241">
        <f t="shared" si="19"/>
        <v>-5.724850664767593</v>
      </c>
      <c r="J111" s="242">
        <f t="shared" si="19"/>
        <v>0.63135529463358298</v>
      </c>
    </row>
    <row r="112" spans="1:19">
      <c r="A112" s="263"/>
      <c r="B112" s="264"/>
      <c r="C112" s="265" t="s">
        <v>126</v>
      </c>
      <c r="D112" s="279" t="s">
        <v>35</v>
      </c>
      <c r="E112" s="239">
        <f t="shared" si="20"/>
        <v>712.70757608153372</v>
      </c>
      <c r="F112" s="240">
        <f t="shared" si="20"/>
        <v>3242.8194711709784</v>
      </c>
      <c r="G112" s="239">
        <f t="shared" si="20"/>
        <v>703.15246689323806</v>
      </c>
      <c r="H112" s="240">
        <f t="shared" ref="H112" si="21">+H28*10^6/H14</f>
        <v>3457.1662955584202</v>
      </c>
      <c r="I112" s="241">
        <f t="shared" si="19"/>
        <v>1.3588957783954476</v>
      </c>
      <c r="J112" s="242">
        <f t="shared" si="19"/>
        <v>-6.2000727203323409</v>
      </c>
    </row>
    <row r="113" spans="1:10">
      <c r="A113" s="263"/>
      <c r="B113" s="264"/>
      <c r="C113" s="265" t="s">
        <v>127</v>
      </c>
      <c r="D113" s="279" t="s">
        <v>35</v>
      </c>
      <c r="E113" s="239">
        <f t="shared" si="20"/>
        <v>3502.071451687917</v>
      </c>
      <c r="F113" s="240">
        <f t="shared" si="20"/>
        <v>9732.500894807119</v>
      </c>
      <c r="G113" s="239">
        <f t="shared" si="20"/>
        <v>3648.3117045897106</v>
      </c>
      <c r="H113" s="240">
        <f t="shared" ref="H113" si="22">+H29*10^6/H15</f>
        <v>13259.262906741991</v>
      </c>
      <c r="I113" s="241">
        <f t="shared" si="19"/>
        <v>-4.0084363602435058</v>
      </c>
      <c r="J113" s="242">
        <f t="shared" si="19"/>
        <v>-26.598477130592268</v>
      </c>
    </row>
    <row r="114" spans="1:10">
      <c r="A114" s="263"/>
      <c r="B114" s="264"/>
      <c r="C114" s="265" t="s">
        <v>36</v>
      </c>
      <c r="D114" s="279" t="s">
        <v>35</v>
      </c>
      <c r="E114" s="239">
        <f t="shared" si="20"/>
        <v>1708.121066826491</v>
      </c>
      <c r="F114" s="240">
        <f t="shared" si="20"/>
        <v>7281.9898112076717</v>
      </c>
      <c r="G114" s="239">
        <f t="shared" si="20"/>
        <v>2106.1701211047821</v>
      </c>
      <c r="H114" s="240">
        <f t="shared" ref="H114" si="23">+H30*10^6/H16</f>
        <v>7299.7941697381648</v>
      </c>
      <c r="I114" s="241">
        <f t="shared" si="19"/>
        <v>-18.899188165744953</v>
      </c>
      <c r="J114" s="242">
        <f t="shared" si="19"/>
        <v>-0.24390219938395524</v>
      </c>
    </row>
    <row r="115" spans="1:10">
      <c r="A115" s="263"/>
      <c r="B115" s="264"/>
      <c r="C115" s="269" t="s">
        <v>12</v>
      </c>
      <c r="D115" s="279" t="s">
        <v>35</v>
      </c>
      <c r="E115" s="239">
        <f t="shared" si="20"/>
        <v>664.39322671683908</v>
      </c>
      <c r="F115" s="240">
        <f t="shared" si="20"/>
        <v>2519.8668119027579</v>
      </c>
      <c r="G115" s="239">
        <f t="shared" si="20"/>
        <v>690.26869617246803</v>
      </c>
      <c r="H115" s="240">
        <f t="shared" ref="H115" si="24">+H31*10^6/H17</f>
        <v>2995.797732633187</v>
      </c>
      <c r="I115" s="241">
        <f t="shared" si="19"/>
        <v>-3.7486082737212518</v>
      </c>
      <c r="J115" s="242">
        <f t="shared" si="19"/>
        <v>-15.886617295490932</v>
      </c>
    </row>
    <row r="116" spans="1:10">
      <c r="A116" s="263"/>
      <c r="B116" s="264"/>
      <c r="C116" s="265" t="s">
        <v>0</v>
      </c>
      <c r="D116" s="279" t="s">
        <v>35</v>
      </c>
      <c r="E116" s="239">
        <f t="shared" si="20"/>
        <v>1477.9959581335022</v>
      </c>
      <c r="F116" s="240">
        <f t="shared" si="20"/>
        <v>4635.075759860847</v>
      </c>
      <c r="G116" s="239">
        <f t="shared" si="20"/>
        <v>2018.4759972232605</v>
      </c>
      <c r="H116" s="240">
        <f t="shared" ref="H116" si="25">+H32*10^6/H18</f>
        <v>4709.7773268542742</v>
      </c>
      <c r="I116" s="241">
        <f t="shared" si="19"/>
        <v>-26.77663939691509</v>
      </c>
      <c r="J116" s="242">
        <f t="shared" si="19"/>
        <v>-1.58609551597042</v>
      </c>
    </row>
    <row r="117" spans="1:10">
      <c r="A117" s="263"/>
      <c r="B117" s="264"/>
      <c r="C117" s="269" t="s">
        <v>13</v>
      </c>
      <c r="D117" s="279" t="s">
        <v>35</v>
      </c>
      <c r="E117" s="239">
        <f t="shared" si="20"/>
        <v>711.57094225285516</v>
      </c>
      <c r="F117" s="240">
        <f t="shared" si="20"/>
        <v>2642.5197015658059</v>
      </c>
      <c r="G117" s="239">
        <f t="shared" si="20"/>
        <v>764.45758408735162</v>
      </c>
      <c r="H117" s="240">
        <f t="shared" ref="H117" si="26">+H33*10^6/H19</f>
        <v>3091.5344748596954</v>
      </c>
      <c r="I117" s="241">
        <f t="shared" si="19"/>
        <v>-6.9181917918487557</v>
      </c>
      <c r="J117" s="242">
        <f t="shared" si="19"/>
        <v>-14.524009903343138</v>
      </c>
    </row>
    <row r="118" spans="1:10" ht="18.75" thickBot="1">
      <c r="A118" s="298"/>
      <c r="B118" s="303"/>
      <c r="C118" s="277" t="s">
        <v>14</v>
      </c>
      <c r="D118" s="286" t="s">
        <v>35</v>
      </c>
      <c r="E118" s="215">
        <f t="shared" si="20"/>
        <v>1542.412860078291</v>
      </c>
      <c r="F118" s="214">
        <f t="shared" si="20"/>
        <v>5114.0098716752091</v>
      </c>
      <c r="G118" s="239">
        <f t="shared" si="20"/>
        <v>1319.9595700941429</v>
      </c>
      <c r="H118" s="240">
        <f t="shared" ref="H118" si="27">+H34*10^6/H20</f>
        <v>5866.1940510366494</v>
      </c>
      <c r="I118" s="216">
        <f t="shared" si="19"/>
        <v>16.85303815542488</v>
      </c>
      <c r="J118" s="217">
        <f t="shared" si="19"/>
        <v>-12.822354201332931</v>
      </c>
    </row>
  </sheetData>
  <mergeCells count="18">
    <mergeCell ref="A35:J35"/>
    <mergeCell ref="A37:H37"/>
    <mergeCell ref="I37:J37"/>
    <mergeCell ref="E39:F39"/>
    <mergeCell ref="A1:H1"/>
    <mergeCell ref="A3:H3"/>
    <mergeCell ref="I3:J3"/>
    <mergeCell ref="E5:F5"/>
    <mergeCell ref="G5:H5"/>
    <mergeCell ref="I5:J5"/>
    <mergeCell ref="G39:H39"/>
    <mergeCell ref="I39:J39"/>
    <mergeCell ref="E75:F75"/>
    <mergeCell ref="G75:H75"/>
    <mergeCell ref="I75:J75"/>
    <mergeCell ref="A71:J71"/>
    <mergeCell ref="A73:H73"/>
    <mergeCell ref="I73:J73"/>
  </mergeCells>
  <printOptions horizontalCentered="1"/>
  <pageMargins left="0.31496062992125984" right="0.23622047244094491" top="0.31496062992125984" bottom="0.31496062992125984" header="0" footer="0"/>
  <pageSetup scale="77" orientation="landscape" verticalDpi="300" r:id="rId1"/>
  <headerFooter alignWithMargins="0"/>
  <rowBreaks count="2" manualBreakCount="2">
    <brk id="34" max="13" man="1"/>
    <brk id="70" max="13" man="1"/>
  </rowBreaks>
  <ignoredErrors>
    <ignoredError sqref="F34 I101:J101" formula="1"/>
  </ignoredErrors>
  <legacyDrawing r:id="rId2"/>
  <oleObjects>
    <oleObject progId="PBrush" shapeId="7169" r:id="rId3"/>
    <oleObject progId="PBrush" shapeId="7170" r:id="rId4"/>
    <oleObject progId="PBrush" shapeId="7171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G1192"/>
  <sheetViews>
    <sheetView topLeftCell="A759" workbookViewId="0">
      <selection activeCell="C772" sqref="C772"/>
    </sheetView>
  </sheetViews>
  <sheetFormatPr defaultRowHeight="12.75"/>
  <cols>
    <col min="3" max="3" width="36.140625" customWidth="1"/>
    <col min="4" max="4" width="17.7109375" bestFit="1" customWidth="1"/>
    <col min="5" max="6" width="19.7109375" bestFit="1" customWidth="1"/>
    <col min="7" max="7" width="19.28515625" bestFit="1" customWidth="1"/>
  </cols>
  <sheetData>
    <row r="2" spans="1:7">
      <c r="A2" t="s">
        <v>148</v>
      </c>
      <c r="G2" s="385" t="s">
        <v>149</v>
      </c>
    </row>
    <row r="3" spans="1:7">
      <c r="A3" t="s">
        <v>150</v>
      </c>
      <c r="B3" t="s">
        <v>151</v>
      </c>
    </row>
    <row r="4" spans="1:7" ht="15">
      <c r="A4" s="386" t="s">
        <v>152</v>
      </c>
      <c r="B4" s="386" t="s">
        <v>153</v>
      </c>
      <c r="C4" s="386"/>
      <c r="D4" s="386"/>
    </row>
    <row r="5" spans="1:7">
      <c r="A5" t="s">
        <v>154</v>
      </c>
    </row>
    <row r="6" spans="1:7">
      <c r="A6" t="s">
        <v>155</v>
      </c>
    </row>
    <row r="7" spans="1:7" ht="15">
      <c r="A7" s="386" t="s">
        <v>156</v>
      </c>
      <c r="B7" s="386"/>
      <c r="C7" s="386"/>
      <c r="D7" s="386"/>
      <c r="E7" s="386"/>
      <c r="F7" s="386"/>
      <c r="G7" s="386"/>
    </row>
    <row r="8" spans="1:7">
      <c r="A8" t="s">
        <v>157</v>
      </c>
      <c r="B8" t="s">
        <v>158</v>
      </c>
      <c r="C8" t="s">
        <v>159</v>
      </c>
      <c r="D8" t="s">
        <v>160</v>
      </c>
      <c r="E8" t="s">
        <v>161</v>
      </c>
      <c r="F8" t="s">
        <v>162</v>
      </c>
      <c r="G8" t="s">
        <v>163</v>
      </c>
    </row>
    <row r="9" spans="1:7">
      <c r="A9">
        <v>1</v>
      </c>
      <c r="B9">
        <v>10</v>
      </c>
      <c r="C9" t="s">
        <v>164</v>
      </c>
      <c r="D9" s="387">
        <v>71376128253.360001</v>
      </c>
      <c r="E9" s="387">
        <v>8024293586.4700003</v>
      </c>
      <c r="F9" s="387">
        <v>956026869.79999995</v>
      </c>
      <c r="G9" s="387">
        <v>78444394970.029999</v>
      </c>
    </row>
    <row r="10" spans="1:7">
      <c r="A10">
        <v>2</v>
      </c>
      <c r="B10">
        <v>101</v>
      </c>
      <c r="C10" t="s">
        <v>165</v>
      </c>
      <c r="D10" s="387">
        <v>257461859.75999999</v>
      </c>
      <c r="E10" s="387">
        <v>465060040.66000003</v>
      </c>
      <c r="F10" s="387">
        <v>66685.66</v>
      </c>
      <c r="G10" s="387">
        <v>722455214.75999999</v>
      </c>
    </row>
    <row r="11" spans="1:7">
      <c r="A11">
        <v>3</v>
      </c>
      <c r="B11">
        <v>10101</v>
      </c>
      <c r="C11" t="s">
        <v>166</v>
      </c>
      <c r="D11" s="387">
        <v>251261134.75999999</v>
      </c>
      <c r="E11" s="387">
        <v>464993355</v>
      </c>
      <c r="F11">
        <v>0</v>
      </c>
      <c r="G11" s="387">
        <v>716254489.75999999</v>
      </c>
    </row>
    <row r="12" spans="1:7">
      <c r="A12">
        <v>4</v>
      </c>
      <c r="B12">
        <v>10102</v>
      </c>
      <c r="C12" t="s">
        <v>167</v>
      </c>
      <c r="D12">
        <v>0</v>
      </c>
      <c r="E12" s="387">
        <v>66685.66</v>
      </c>
      <c r="F12" s="387">
        <v>66685.66</v>
      </c>
      <c r="G12">
        <v>0</v>
      </c>
    </row>
    <row r="13" spans="1:7">
      <c r="A13">
        <v>5</v>
      </c>
      <c r="B13">
        <v>10112</v>
      </c>
      <c r="C13" t="s">
        <v>168</v>
      </c>
      <c r="D13" s="387">
        <v>6200725</v>
      </c>
      <c r="E13">
        <v>0</v>
      </c>
      <c r="F13">
        <v>0</v>
      </c>
      <c r="G13" s="387">
        <v>6200725</v>
      </c>
    </row>
    <row r="14" spans="1:7">
      <c r="A14">
        <v>6</v>
      </c>
      <c r="B14">
        <v>102</v>
      </c>
      <c r="C14" t="s">
        <v>169</v>
      </c>
      <c r="D14" s="387">
        <v>1140368883.3299999</v>
      </c>
      <c r="E14" s="387">
        <v>196155423.19999999</v>
      </c>
      <c r="F14" s="387">
        <v>185745328.41</v>
      </c>
      <c r="G14" s="387">
        <v>1150778978.1199999</v>
      </c>
    </row>
    <row r="15" spans="1:7">
      <c r="A15">
        <v>7</v>
      </c>
      <c r="B15">
        <v>10208</v>
      </c>
      <c r="C15" t="s">
        <v>170</v>
      </c>
      <c r="D15" s="387">
        <v>44787.040000000001</v>
      </c>
      <c r="E15">
        <v>0</v>
      </c>
      <c r="F15">
        <v>0</v>
      </c>
      <c r="G15" s="387">
        <v>44787.040000000001</v>
      </c>
    </row>
    <row r="16" spans="1:7">
      <c r="A16">
        <v>8</v>
      </c>
      <c r="B16">
        <v>10211</v>
      </c>
      <c r="C16" t="s">
        <v>171</v>
      </c>
      <c r="D16" s="387">
        <v>932714425.38</v>
      </c>
      <c r="E16" s="387">
        <v>6476198.3200000003</v>
      </c>
      <c r="F16" s="387">
        <v>1618470.69</v>
      </c>
      <c r="G16" s="387">
        <v>937572153.00999999</v>
      </c>
    </row>
    <row r="17" spans="1:7">
      <c r="A17">
        <v>9</v>
      </c>
      <c r="B17">
        <v>10222</v>
      </c>
      <c r="C17" t="s">
        <v>172</v>
      </c>
      <c r="D17" s="387">
        <v>150454231.56999999</v>
      </c>
      <c r="E17">
        <v>0</v>
      </c>
      <c r="F17">
        <v>0</v>
      </c>
      <c r="G17" s="387">
        <v>150454231.56999999</v>
      </c>
    </row>
    <row r="18" spans="1:7">
      <c r="A18">
        <v>10</v>
      </c>
      <c r="B18">
        <v>10232</v>
      </c>
      <c r="C18" t="s">
        <v>173</v>
      </c>
      <c r="D18" s="387">
        <v>1388076.15</v>
      </c>
      <c r="E18">
        <v>0</v>
      </c>
      <c r="F18">
        <v>0</v>
      </c>
      <c r="G18" s="387">
        <v>1388076.15</v>
      </c>
    </row>
    <row r="19" spans="1:7">
      <c r="A19">
        <v>11</v>
      </c>
      <c r="B19">
        <v>10233</v>
      </c>
      <c r="C19" t="s">
        <v>174</v>
      </c>
      <c r="D19" s="387">
        <v>53237201.93</v>
      </c>
      <c r="E19" s="387">
        <v>8540833.8800000008</v>
      </c>
      <c r="F19" s="387">
        <v>2988466.72</v>
      </c>
      <c r="G19" s="387">
        <v>58789569.090000004</v>
      </c>
    </row>
    <row r="20" spans="1:7">
      <c r="A20">
        <v>12</v>
      </c>
      <c r="B20">
        <v>10234</v>
      </c>
      <c r="C20" t="s">
        <v>175</v>
      </c>
      <c r="D20" s="387">
        <v>2530161.2599999998</v>
      </c>
      <c r="E20">
        <v>0</v>
      </c>
      <c r="F20">
        <v>0</v>
      </c>
      <c r="G20" s="387">
        <v>2530161.2599999998</v>
      </c>
    </row>
    <row r="21" spans="1:7">
      <c r="A21">
        <v>13</v>
      </c>
      <c r="B21">
        <v>10299</v>
      </c>
      <c r="C21" t="s">
        <v>176</v>
      </c>
      <c r="D21">
        <v>0</v>
      </c>
      <c r="E21" s="387">
        <v>181138391</v>
      </c>
      <c r="F21" s="387">
        <v>181138391</v>
      </c>
      <c r="G21">
        <v>0</v>
      </c>
    </row>
    <row r="22" spans="1:7">
      <c r="A22">
        <v>14</v>
      </c>
      <c r="B22">
        <v>103</v>
      </c>
      <c r="C22" t="s">
        <v>177</v>
      </c>
      <c r="D22" s="387">
        <v>3268460.95</v>
      </c>
      <c r="E22">
        <v>0</v>
      </c>
      <c r="F22">
        <v>0</v>
      </c>
      <c r="G22" s="387">
        <v>3268460.95</v>
      </c>
    </row>
    <row r="23" spans="1:7">
      <c r="A23">
        <v>15</v>
      </c>
      <c r="B23">
        <v>10315</v>
      </c>
      <c r="C23" t="s">
        <v>178</v>
      </c>
      <c r="D23" s="387">
        <v>595764.23</v>
      </c>
      <c r="E23">
        <v>0</v>
      </c>
      <c r="F23">
        <v>0</v>
      </c>
      <c r="G23" s="387">
        <v>595764.23</v>
      </c>
    </row>
    <row r="24" spans="1:7">
      <c r="A24">
        <v>16</v>
      </c>
      <c r="B24">
        <v>10320</v>
      </c>
      <c r="C24" t="s">
        <v>179</v>
      </c>
      <c r="D24" s="387">
        <v>1671749.32</v>
      </c>
      <c r="E24">
        <v>0</v>
      </c>
      <c r="F24">
        <v>0</v>
      </c>
      <c r="G24" s="387">
        <v>1671749.32</v>
      </c>
    </row>
    <row r="25" spans="1:7">
      <c r="A25">
        <v>17</v>
      </c>
      <c r="B25">
        <v>10322</v>
      </c>
      <c r="C25" t="s">
        <v>180</v>
      </c>
      <c r="D25" s="387">
        <v>1000947.4</v>
      </c>
      <c r="E25">
        <v>0</v>
      </c>
      <c r="F25">
        <v>0</v>
      </c>
      <c r="G25" s="387">
        <v>1000947.4</v>
      </c>
    </row>
    <row r="26" spans="1:7">
      <c r="A26">
        <v>18</v>
      </c>
      <c r="B26">
        <v>104</v>
      </c>
      <c r="C26" t="s">
        <v>181</v>
      </c>
      <c r="D26" s="387">
        <v>308516496.80000001</v>
      </c>
      <c r="E26" s="387">
        <v>32947101.989999998</v>
      </c>
      <c r="F26" s="387">
        <v>7419999.4000000004</v>
      </c>
      <c r="G26" s="387">
        <v>334043599.38999999</v>
      </c>
    </row>
    <row r="27" spans="1:7">
      <c r="A27">
        <v>19</v>
      </c>
      <c r="B27">
        <v>10401</v>
      </c>
      <c r="C27" t="s">
        <v>182</v>
      </c>
      <c r="D27" s="387">
        <v>18686639.690000001</v>
      </c>
      <c r="E27">
        <v>0</v>
      </c>
      <c r="F27">
        <v>0</v>
      </c>
      <c r="G27" s="387">
        <v>18686639.690000001</v>
      </c>
    </row>
    <row r="28" spans="1:7">
      <c r="A28">
        <v>20</v>
      </c>
      <c r="B28">
        <v>10419</v>
      </c>
      <c r="C28" t="s">
        <v>183</v>
      </c>
      <c r="D28" s="387">
        <v>289829857.11000001</v>
      </c>
      <c r="E28" s="387">
        <v>32913975.07</v>
      </c>
      <c r="F28" s="387">
        <v>7386872.4800000004</v>
      </c>
      <c r="G28" s="387">
        <v>315356959.69999999</v>
      </c>
    </row>
    <row r="29" spans="1:7">
      <c r="A29">
        <v>21</v>
      </c>
      <c r="B29">
        <v>10420</v>
      </c>
      <c r="C29" t="s">
        <v>184</v>
      </c>
      <c r="D29">
        <v>0</v>
      </c>
      <c r="E29" s="387">
        <v>33126.92</v>
      </c>
      <c r="F29" s="387">
        <v>33126.92</v>
      </c>
      <c r="G29">
        <v>0</v>
      </c>
    </row>
    <row r="30" spans="1:7">
      <c r="A30">
        <v>22</v>
      </c>
      <c r="B30">
        <v>105</v>
      </c>
      <c r="C30" t="s">
        <v>185</v>
      </c>
      <c r="D30" s="387">
        <v>18379028784.27</v>
      </c>
      <c r="E30" s="387">
        <v>2108299978.72</v>
      </c>
      <c r="F30" s="387">
        <v>530627354.42000002</v>
      </c>
      <c r="G30" s="387">
        <v>19956701408.57</v>
      </c>
    </row>
    <row r="31" spans="1:7">
      <c r="A31">
        <v>23</v>
      </c>
      <c r="B31">
        <v>10516</v>
      </c>
      <c r="C31" t="s">
        <v>186</v>
      </c>
      <c r="D31">
        <v>0</v>
      </c>
      <c r="E31" s="387">
        <v>1330</v>
      </c>
      <c r="F31" s="387">
        <v>1330</v>
      </c>
      <c r="G31">
        <v>0</v>
      </c>
    </row>
    <row r="32" spans="1:7">
      <c r="A32">
        <v>24</v>
      </c>
      <c r="B32">
        <v>10541</v>
      </c>
      <c r="C32" t="s">
        <v>187</v>
      </c>
      <c r="D32" s="387">
        <v>7402916149.6499996</v>
      </c>
      <c r="E32" s="387">
        <v>905591467.30999994</v>
      </c>
      <c r="F32" s="387">
        <v>232655778.75</v>
      </c>
      <c r="G32" s="387">
        <v>8075851838.21</v>
      </c>
    </row>
    <row r="33" spans="1:7">
      <c r="A33">
        <v>25</v>
      </c>
      <c r="B33">
        <v>10542</v>
      </c>
      <c r="C33" t="s">
        <v>188</v>
      </c>
      <c r="D33" s="387">
        <v>10633859012.26</v>
      </c>
      <c r="E33" s="387">
        <v>935632938.63999999</v>
      </c>
      <c r="F33" s="387">
        <v>41783933.270000003</v>
      </c>
      <c r="G33" s="387">
        <v>11527708017.629999</v>
      </c>
    </row>
    <row r="34" spans="1:7">
      <c r="A34">
        <v>26</v>
      </c>
      <c r="B34">
        <v>10543</v>
      </c>
      <c r="C34" t="s">
        <v>189</v>
      </c>
      <c r="D34" s="387">
        <v>55801417.090000004</v>
      </c>
      <c r="E34">
        <v>0</v>
      </c>
      <c r="F34">
        <v>0</v>
      </c>
      <c r="G34" s="387">
        <v>55801417.090000004</v>
      </c>
    </row>
    <row r="35" spans="1:7">
      <c r="A35">
        <v>27</v>
      </c>
      <c r="B35">
        <v>10545</v>
      </c>
      <c r="C35" t="s">
        <v>190</v>
      </c>
      <c r="D35" s="387">
        <v>279322112.72000003</v>
      </c>
      <c r="E35" s="387">
        <v>492700</v>
      </c>
      <c r="F35" s="387">
        <v>229250023.44</v>
      </c>
      <c r="G35" s="387">
        <v>50564789.280000001</v>
      </c>
    </row>
    <row r="36" spans="1:7">
      <c r="A36">
        <v>28</v>
      </c>
      <c r="B36">
        <v>10547</v>
      </c>
      <c r="C36" t="s">
        <v>191</v>
      </c>
      <c r="D36">
        <v>0</v>
      </c>
      <c r="E36" s="387">
        <v>1215395</v>
      </c>
      <c r="F36" s="387">
        <v>1215395</v>
      </c>
      <c r="G36">
        <v>0</v>
      </c>
    </row>
    <row r="37" spans="1:7">
      <c r="A37">
        <v>29</v>
      </c>
      <c r="B37">
        <v>10548</v>
      </c>
      <c r="C37" t="s">
        <v>192</v>
      </c>
      <c r="D37" s="387">
        <v>369972657.17000002</v>
      </c>
      <c r="E37" s="387">
        <v>405405</v>
      </c>
      <c r="F37" s="387">
        <v>193922.96</v>
      </c>
      <c r="G37" s="387">
        <v>370184139.20999998</v>
      </c>
    </row>
    <row r="38" spans="1:7">
      <c r="A38">
        <v>30</v>
      </c>
      <c r="B38">
        <v>10549</v>
      </c>
      <c r="C38" t="s">
        <v>193</v>
      </c>
      <c r="D38" s="387">
        <v>-369972657.17000002</v>
      </c>
      <c r="E38">
        <v>0</v>
      </c>
      <c r="F38" s="387">
        <v>211482.04</v>
      </c>
      <c r="G38" s="387">
        <v>-370184139.20999998</v>
      </c>
    </row>
    <row r="39" spans="1:7">
      <c r="A39">
        <v>31</v>
      </c>
      <c r="B39">
        <v>10550</v>
      </c>
      <c r="C39" t="s">
        <v>194</v>
      </c>
      <c r="D39" s="387">
        <v>931946969.11000001</v>
      </c>
      <c r="E39" s="387">
        <v>230365254.75</v>
      </c>
      <c r="F39" s="387">
        <v>432731.31</v>
      </c>
      <c r="G39" s="387">
        <v>1161879492.55</v>
      </c>
    </row>
    <row r="40" spans="1:7">
      <c r="A40">
        <v>32</v>
      </c>
      <c r="B40">
        <v>10553</v>
      </c>
      <c r="C40" t="s">
        <v>195</v>
      </c>
      <c r="D40" s="387">
        <v>49808.63</v>
      </c>
      <c r="E40">
        <v>0</v>
      </c>
      <c r="F40">
        <v>0</v>
      </c>
      <c r="G40" s="387">
        <v>49808.63</v>
      </c>
    </row>
    <row r="41" spans="1:7">
      <c r="A41">
        <v>33</v>
      </c>
      <c r="B41">
        <v>10555</v>
      </c>
      <c r="C41" t="s">
        <v>196</v>
      </c>
      <c r="D41" s="387">
        <v>942552.98</v>
      </c>
      <c r="E41">
        <v>0</v>
      </c>
      <c r="F41">
        <v>0</v>
      </c>
      <c r="G41" s="387">
        <v>942552.98</v>
      </c>
    </row>
    <row r="42" spans="1:7">
      <c r="A42">
        <v>34</v>
      </c>
      <c r="B42">
        <v>10561</v>
      </c>
      <c r="C42" t="s">
        <v>197</v>
      </c>
      <c r="D42" s="387">
        <v>64002675.289999999</v>
      </c>
      <c r="E42">
        <v>0</v>
      </c>
      <c r="F42">
        <v>0</v>
      </c>
      <c r="G42" s="387">
        <v>64002675.289999999</v>
      </c>
    </row>
    <row r="43" spans="1:7">
      <c r="A43">
        <v>35</v>
      </c>
      <c r="B43">
        <v>10563</v>
      </c>
      <c r="C43" t="s">
        <v>198</v>
      </c>
      <c r="D43" s="387">
        <v>41345</v>
      </c>
      <c r="E43">
        <v>0</v>
      </c>
      <c r="F43">
        <v>0</v>
      </c>
      <c r="G43" s="387">
        <v>41345</v>
      </c>
    </row>
    <row r="44" spans="1:7">
      <c r="A44">
        <v>36</v>
      </c>
      <c r="B44">
        <v>10565</v>
      </c>
      <c r="C44" t="s">
        <v>199</v>
      </c>
      <c r="D44" s="387">
        <v>40326.21</v>
      </c>
      <c r="E44">
        <v>0</v>
      </c>
      <c r="F44">
        <v>0</v>
      </c>
      <c r="G44" s="387">
        <v>40326.21</v>
      </c>
    </row>
    <row r="45" spans="1:7">
      <c r="A45">
        <v>37</v>
      </c>
      <c r="B45">
        <v>10567</v>
      </c>
      <c r="C45" t="s">
        <v>200</v>
      </c>
      <c r="D45" s="387">
        <v>15128912.93</v>
      </c>
      <c r="E45">
        <v>0</v>
      </c>
      <c r="F45">
        <v>0</v>
      </c>
      <c r="G45" s="387">
        <v>15128912.93</v>
      </c>
    </row>
    <row r="46" spans="1:7">
      <c r="A46">
        <v>38</v>
      </c>
      <c r="B46">
        <v>10568</v>
      </c>
      <c r="C46" t="s">
        <v>201</v>
      </c>
      <c r="D46" s="387">
        <v>409406.82</v>
      </c>
      <c r="E46">
        <v>0</v>
      </c>
      <c r="F46">
        <v>0</v>
      </c>
      <c r="G46" s="387">
        <v>409406.82</v>
      </c>
    </row>
    <row r="47" spans="1:7">
      <c r="A47">
        <v>39</v>
      </c>
      <c r="B47">
        <v>10571</v>
      </c>
      <c r="C47" t="s">
        <v>202</v>
      </c>
      <c r="D47" s="387">
        <v>2407439.41</v>
      </c>
      <c r="E47">
        <v>0</v>
      </c>
      <c r="F47">
        <v>0</v>
      </c>
      <c r="G47" s="387">
        <v>2407439.41</v>
      </c>
    </row>
    <row r="48" spans="1:7">
      <c r="A48">
        <v>40</v>
      </c>
      <c r="B48">
        <v>10572</v>
      </c>
      <c r="C48" t="s">
        <v>203</v>
      </c>
      <c r="D48" s="387">
        <v>8227516.9800000004</v>
      </c>
      <c r="E48">
        <v>0</v>
      </c>
      <c r="F48">
        <v>0</v>
      </c>
      <c r="G48" s="387">
        <v>8227516.9800000004</v>
      </c>
    </row>
    <row r="49" spans="1:7">
      <c r="A49">
        <v>41</v>
      </c>
      <c r="B49">
        <v>10574</v>
      </c>
      <c r="C49" t="s">
        <v>204</v>
      </c>
      <c r="D49" s="387">
        <v>358601.05</v>
      </c>
      <c r="E49">
        <v>0</v>
      </c>
      <c r="F49">
        <v>0</v>
      </c>
      <c r="G49" s="387">
        <v>358601.05</v>
      </c>
    </row>
    <row r="50" spans="1:7">
      <c r="A50">
        <v>42</v>
      </c>
      <c r="B50">
        <v>10576</v>
      </c>
      <c r="C50" t="s">
        <v>205</v>
      </c>
      <c r="D50" s="387">
        <v>19050420.289999999</v>
      </c>
      <c r="E50">
        <v>0</v>
      </c>
      <c r="F50">
        <v>0</v>
      </c>
      <c r="G50" s="387">
        <v>19050420.289999999</v>
      </c>
    </row>
    <row r="51" spans="1:7">
      <c r="A51">
        <v>43</v>
      </c>
      <c r="B51">
        <v>10577</v>
      </c>
      <c r="C51" t="s">
        <v>206</v>
      </c>
      <c r="D51" s="387">
        <v>1072421.32</v>
      </c>
      <c r="E51">
        <v>0</v>
      </c>
      <c r="F51">
        <v>0</v>
      </c>
      <c r="G51" s="387">
        <v>1072421.32</v>
      </c>
    </row>
    <row r="52" spans="1:7">
      <c r="A52">
        <v>44</v>
      </c>
      <c r="B52">
        <v>10580</v>
      </c>
      <c r="C52" t="s">
        <v>207</v>
      </c>
      <c r="D52" s="387">
        <v>3395084.56</v>
      </c>
      <c r="E52">
        <v>0</v>
      </c>
      <c r="F52">
        <v>0</v>
      </c>
      <c r="G52" s="387">
        <v>3395084.56</v>
      </c>
    </row>
    <row r="53" spans="1:7">
      <c r="A53">
        <v>45</v>
      </c>
      <c r="B53">
        <v>10581</v>
      </c>
      <c r="C53" t="s">
        <v>208</v>
      </c>
      <c r="D53" s="387">
        <v>82145359.480000004</v>
      </c>
      <c r="E53" s="387">
        <v>18756482.399999999</v>
      </c>
      <c r="F53" s="387">
        <v>9364291.1999999993</v>
      </c>
      <c r="G53" s="387">
        <v>91537550.680000007</v>
      </c>
    </row>
    <row r="54" spans="1:7">
      <c r="A54">
        <v>46</v>
      </c>
      <c r="B54">
        <v>10583</v>
      </c>
      <c r="C54" t="s">
        <v>209</v>
      </c>
      <c r="D54" s="387">
        <v>5213220.51</v>
      </c>
      <c r="E54" s="387">
        <v>705529.25</v>
      </c>
      <c r="F54" s="387">
        <v>308085.53999999998</v>
      </c>
      <c r="G54" s="387">
        <v>5610664.2199999997</v>
      </c>
    </row>
    <row r="55" spans="1:7">
      <c r="A55">
        <v>47</v>
      </c>
      <c r="B55">
        <v>10585</v>
      </c>
      <c r="C55" t="s">
        <v>210</v>
      </c>
      <c r="D55" s="387">
        <v>91125</v>
      </c>
      <c r="E55">
        <v>0</v>
      </c>
      <c r="F55">
        <v>0</v>
      </c>
      <c r="G55" s="387">
        <v>91125</v>
      </c>
    </row>
    <row r="56" spans="1:7">
      <c r="A56">
        <v>48</v>
      </c>
      <c r="B56">
        <v>10586</v>
      </c>
      <c r="C56" t="s">
        <v>211</v>
      </c>
      <c r="D56" s="387">
        <v>60468.26</v>
      </c>
      <c r="E56">
        <v>0</v>
      </c>
      <c r="F56">
        <v>0</v>
      </c>
      <c r="G56" s="387">
        <v>60468.26</v>
      </c>
    </row>
    <row r="57" spans="1:7">
      <c r="A57">
        <v>49</v>
      </c>
      <c r="B57">
        <v>10590</v>
      </c>
      <c r="C57" t="s">
        <v>212</v>
      </c>
      <c r="D57" s="387">
        <v>52685.38</v>
      </c>
      <c r="E57">
        <v>0</v>
      </c>
      <c r="F57">
        <v>0</v>
      </c>
      <c r="G57" s="387">
        <v>52685.38</v>
      </c>
    </row>
    <row r="58" spans="1:7">
      <c r="A58">
        <v>50</v>
      </c>
      <c r="B58">
        <v>10591</v>
      </c>
      <c r="C58" t="s">
        <v>213</v>
      </c>
      <c r="D58">
        <v>0</v>
      </c>
      <c r="E58" s="387">
        <v>14518380.91</v>
      </c>
      <c r="F58">
        <v>0</v>
      </c>
      <c r="G58" s="387">
        <v>14518380.91</v>
      </c>
    </row>
    <row r="59" spans="1:7">
      <c r="A59">
        <v>51</v>
      </c>
      <c r="B59">
        <v>10592</v>
      </c>
      <c r="C59" t="s">
        <v>214</v>
      </c>
      <c r="D59">
        <v>0</v>
      </c>
      <c r="E59">
        <v>0</v>
      </c>
      <c r="F59" s="387">
        <v>14518380.91</v>
      </c>
      <c r="G59" s="387">
        <v>-14518380.91</v>
      </c>
    </row>
    <row r="60" spans="1:7">
      <c r="A60">
        <v>52</v>
      </c>
      <c r="B60">
        <v>10595</v>
      </c>
      <c r="C60" t="s">
        <v>215</v>
      </c>
      <c r="D60" s="387">
        <v>-1161196992.6099999</v>
      </c>
      <c r="E60" s="387">
        <v>9500</v>
      </c>
      <c r="F60" s="387">
        <v>692000</v>
      </c>
      <c r="G60" s="387">
        <v>-1161879492.6099999</v>
      </c>
    </row>
    <row r="61" spans="1:7">
      <c r="A61">
        <v>53</v>
      </c>
      <c r="B61">
        <v>10599</v>
      </c>
      <c r="C61" t="s">
        <v>216</v>
      </c>
      <c r="D61" s="387">
        <v>33690745.950000003</v>
      </c>
      <c r="E61" s="387">
        <v>605595.46</v>
      </c>
      <c r="F61">
        <v>0</v>
      </c>
      <c r="G61" s="387">
        <v>34296341.409999996</v>
      </c>
    </row>
    <row r="62" spans="1:7">
      <c r="A62">
        <v>54</v>
      </c>
      <c r="B62">
        <v>106</v>
      </c>
      <c r="C62" t="s">
        <v>217</v>
      </c>
      <c r="D62" s="387">
        <v>50414142450.720001</v>
      </c>
      <c r="E62" s="387">
        <v>5188996323.1999998</v>
      </c>
      <c r="F62" s="387">
        <v>220506546.05000001</v>
      </c>
      <c r="G62" s="387">
        <v>55382632227.870003</v>
      </c>
    </row>
    <row r="63" spans="1:7">
      <c r="A63">
        <v>55</v>
      </c>
      <c r="B63">
        <v>10605</v>
      </c>
      <c r="C63" t="s">
        <v>218</v>
      </c>
      <c r="D63" s="387">
        <v>1466777.8</v>
      </c>
      <c r="E63">
        <v>0</v>
      </c>
      <c r="F63">
        <v>0</v>
      </c>
      <c r="G63" s="387">
        <v>1466777.8</v>
      </c>
    </row>
    <row r="64" spans="1:7">
      <c r="A64">
        <v>56</v>
      </c>
      <c r="B64">
        <v>10606</v>
      </c>
      <c r="C64" t="s">
        <v>219</v>
      </c>
      <c r="D64" s="387">
        <v>2469960905.2800002</v>
      </c>
      <c r="E64" s="387">
        <v>54466847.369999997</v>
      </c>
      <c r="F64" s="387">
        <v>20151851.609999999</v>
      </c>
      <c r="G64" s="387">
        <v>2504275901.04</v>
      </c>
    </row>
    <row r="65" spans="1:7">
      <c r="A65">
        <v>57</v>
      </c>
      <c r="B65">
        <v>10607</v>
      </c>
      <c r="C65" t="s">
        <v>220</v>
      </c>
      <c r="D65" s="387">
        <v>16611437505.459999</v>
      </c>
      <c r="E65" s="387">
        <v>2221702522.9499998</v>
      </c>
      <c r="F65" s="387">
        <v>91440052.510000005</v>
      </c>
      <c r="G65" s="387">
        <v>18741699975.900002</v>
      </c>
    </row>
    <row r="66" spans="1:7">
      <c r="A66">
        <v>58</v>
      </c>
      <c r="B66">
        <v>10608</v>
      </c>
      <c r="C66" t="s">
        <v>221</v>
      </c>
      <c r="D66" s="387">
        <v>20219494562.330002</v>
      </c>
      <c r="E66" s="387">
        <v>1738160372.8099999</v>
      </c>
      <c r="F66" s="387">
        <v>74062511.849999994</v>
      </c>
      <c r="G66" s="387">
        <v>21883592423.290001</v>
      </c>
    </row>
    <row r="67" spans="1:7">
      <c r="A67">
        <v>59</v>
      </c>
      <c r="B67">
        <v>10609</v>
      </c>
      <c r="C67" t="s">
        <v>222</v>
      </c>
      <c r="D67" s="387">
        <v>96085.42</v>
      </c>
      <c r="E67">
        <v>0</v>
      </c>
      <c r="F67">
        <v>0</v>
      </c>
      <c r="G67" s="387">
        <v>96085.42</v>
      </c>
    </row>
    <row r="68" spans="1:7">
      <c r="A68">
        <v>60</v>
      </c>
      <c r="B68">
        <v>10611</v>
      </c>
      <c r="C68" t="s">
        <v>223</v>
      </c>
      <c r="D68" s="387">
        <v>1187852921.2</v>
      </c>
      <c r="E68" s="387">
        <v>452590210.88</v>
      </c>
      <c r="F68" s="387">
        <v>642008.48</v>
      </c>
      <c r="G68" s="387">
        <v>1639801123.5999999</v>
      </c>
    </row>
    <row r="69" spans="1:7">
      <c r="A69">
        <v>61</v>
      </c>
      <c r="B69">
        <v>10612</v>
      </c>
      <c r="C69" t="s">
        <v>224</v>
      </c>
      <c r="D69" s="387">
        <v>1844173436.8299999</v>
      </c>
      <c r="E69" s="387">
        <v>194215845.16999999</v>
      </c>
      <c r="F69" s="387">
        <v>7110984.4699999997</v>
      </c>
      <c r="G69" s="387">
        <v>2031278297.53</v>
      </c>
    </row>
    <row r="70" spans="1:7">
      <c r="A70">
        <v>62</v>
      </c>
      <c r="B70">
        <v>10613</v>
      </c>
      <c r="C70" t="s">
        <v>225</v>
      </c>
      <c r="D70" s="387">
        <v>12684930.039999999</v>
      </c>
      <c r="E70">
        <v>0</v>
      </c>
      <c r="F70">
        <v>0</v>
      </c>
      <c r="G70" s="387">
        <v>12684930.039999999</v>
      </c>
    </row>
    <row r="71" spans="1:7">
      <c r="A71">
        <v>63</v>
      </c>
      <c r="B71">
        <v>10621</v>
      </c>
      <c r="C71" t="s">
        <v>226</v>
      </c>
      <c r="D71" s="387">
        <v>506756313.33999997</v>
      </c>
      <c r="E71" s="387">
        <v>83238028.109999999</v>
      </c>
      <c r="F71" s="387">
        <v>1987715.18</v>
      </c>
      <c r="G71" s="387">
        <v>588006626.26999998</v>
      </c>
    </row>
    <row r="72" spans="1:7">
      <c r="A72">
        <v>64</v>
      </c>
      <c r="B72">
        <v>10622</v>
      </c>
      <c r="C72" t="s">
        <v>227</v>
      </c>
      <c r="D72" s="387">
        <v>2257039209.8299999</v>
      </c>
      <c r="E72" s="387">
        <v>107022531.86</v>
      </c>
      <c r="F72" s="387">
        <v>4671683.49</v>
      </c>
      <c r="G72" s="387">
        <v>2359390058.1999998</v>
      </c>
    </row>
    <row r="73" spans="1:7">
      <c r="A73">
        <v>65</v>
      </c>
      <c r="B73">
        <v>10631</v>
      </c>
      <c r="C73" t="s">
        <v>228</v>
      </c>
      <c r="D73" s="387">
        <v>5151591004.9399996</v>
      </c>
      <c r="E73" s="387">
        <v>285800852.31</v>
      </c>
      <c r="F73" s="387">
        <v>20439738.460000001</v>
      </c>
      <c r="G73" s="387">
        <v>5416952118.79</v>
      </c>
    </row>
    <row r="74" spans="1:7">
      <c r="A74">
        <v>66</v>
      </c>
      <c r="B74">
        <v>10632</v>
      </c>
      <c r="C74" t="s">
        <v>229</v>
      </c>
      <c r="D74" s="387">
        <v>16478945.52</v>
      </c>
      <c r="E74" s="387">
        <v>754529.27</v>
      </c>
      <c r="F74">
        <v>0</v>
      </c>
      <c r="G74" s="387">
        <v>17233474.789999999</v>
      </c>
    </row>
    <row r="75" spans="1:7">
      <c r="A75">
        <v>67</v>
      </c>
      <c r="B75">
        <v>10633</v>
      </c>
      <c r="C75" t="s">
        <v>230</v>
      </c>
      <c r="D75" s="387">
        <v>25019982.609999999</v>
      </c>
      <c r="E75" s="387">
        <v>1683552.55</v>
      </c>
      <c r="F75">
        <v>0</v>
      </c>
      <c r="G75" s="387">
        <v>26703535.16</v>
      </c>
    </row>
    <row r="76" spans="1:7">
      <c r="A76">
        <v>68</v>
      </c>
      <c r="B76">
        <v>10641</v>
      </c>
      <c r="C76" t="s">
        <v>231</v>
      </c>
      <c r="D76" s="387">
        <v>48998989.920000002</v>
      </c>
      <c r="E76" s="387">
        <v>131421.32</v>
      </c>
      <c r="F76">
        <v>0</v>
      </c>
      <c r="G76" s="387">
        <v>49130411.240000002</v>
      </c>
    </row>
    <row r="77" spans="1:7">
      <c r="A77">
        <v>69</v>
      </c>
      <c r="B77">
        <v>10699</v>
      </c>
      <c r="C77" t="s">
        <v>232</v>
      </c>
      <c r="D77" s="387">
        <v>61090880.200000003</v>
      </c>
      <c r="E77" s="387">
        <v>49229608.600000001</v>
      </c>
      <c r="F77">
        <v>0</v>
      </c>
      <c r="G77" s="387">
        <v>110320488.8</v>
      </c>
    </row>
    <row r="78" spans="1:7">
      <c r="A78">
        <v>70</v>
      </c>
      <c r="B78">
        <v>107</v>
      </c>
      <c r="C78" t="s">
        <v>233</v>
      </c>
      <c r="D78" s="387">
        <v>28482562.899999999</v>
      </c>
      <c r="E78" s="387">
        <v>722316.1</v>
      </c>
      <c r="F78" s="387">
        <v>1038112.66</v>
      </c>
      <c r="G78" s="387">
        <v>28166766.34</v>
      </c>
    </row>
    <row r="79" spans="1:7">
      <c r="A79">
        <v>71</v>
      </c>
      <c r="B79">
        <v>10710</v>
      </c>
      <c r="C79" t="s">
        <v>234</v>
      </c>
      <c r="D79" s="387">
        <v>12994706.42</v>
      </c>
      <c r="E79" s="387">
        <v>572316.1</v>
      </c>
      <c r="F79" s="387">
        <v>963112.66</v>
      </c>
      <c r="G79" s="387">
        <v>12603909.859999999</v>
      </c>
    </row>
    <row r="80" spans="1:7">
      <c r="A80">
        <v>72</v>
      </c>
      <c r="B80">
        <v>10730</v>
      </c>
      <c r="C80" t="s">
        <v>235</v>
      </c>
      <c r="D80" s="387">
        <v>10063474.65</v>
      </c>
      <c r="E80" s="387">
        <v>150000</v>
      </c>
      <c r="F80" s="387">
        <v>75000</v>
      </c>
      <c r="G80" s="387">
        <v>10138474.65</v>
      </c>
    </row>
    <row r="81" spans="1:7">
      <c r="A81">
        <v>73</v>
      </c>
      <c r="B81">
        <v>10731</v>
      </c>
      <c r="C81" t="s">
        <v>236</v>
      </c>
      <c r="D81" s="387">
        <v>4478799.83</v>
      </c>
      <c r="E81">
        <v>0</v>
      </c>
      <c r="F81">
        <v>0</v>
      </c>
      <c r="G81" s="387">
        <v>4478799.83</v>
      </c>
    </row>
    <row r="82" spans="1:7">
      <c r="A82">
        <v>74</v>
      </c>
      <c r="B82">
        <v>10740</v>
      </c>
      <c r="C82" t="s">
        <v>237</v>
      </c>
      <c r="D82" s="387">
        <v>945582</v>
      </c>
      <c r="E82">
        <v>0</v>
      </c>
      <c r="F82">
        <v>0</v>
      </c>
      <c r="G82" s="387">
        <v>945582</v>
      </c>
    </row>
    <row r="83" spans="1:7">
      <c r="A83">
        <v>75</v>
      </c>
      <c r="B83">
        <v>108</v>
      </c>
      <c r="C83" t="s">
        <v>238</v>
      </c>
      <c r="D83" s="387">
        <v>141107898.91</v>
      </c>
      <c r="E83" s="387">
        <v>6361443.4699999997</v>
      </c>
      <c r="F83" s="387">
        <v>819963.8</v>
      </c>
      <c r="G83" s="387">
        <v>146649378.58000001</v>
      </c>
    </row>
    <row r="84" spans="1:7">
      <c r="A84">
        <v>76</v>
      </c>
      <c r="B84">
        <v>10810</v>
      </c>
      <c r="C84" t="s">
        <v>239</v>
      </c>
      <c r="D84" s="387">
        <v>120930668.04000001</v>
      </c>
      <c r="E84" s="387">
        <v>4780386.84</v>
      </c>
      <c r="F84" s="387">
        <v>819963.8</v>
      </c>
      <c r="G84" s="387">
        <v>124891091.08</v>
      </c>
    </row>
    <row r="85" spans="1:7">
      <c r="A85">
        <v>77</v>
      </c>
      <c r="B85">
        <v>10820</v>
      </c>
      <c r="C85" t="s">
        <v>240</v>
      </c>
      <c r="D85" s="387">
        <v>20170500.870000001</v>
      </c>
      <c r="E85" s="387">
        <v>1581056.63</v>
      </c>
      <c r="F85">
        <v>0</v>
      </c>
      <c r="G85" s="387">
        <v>21751557.5</v>
      </c>
    </row>
    <row r="86" spans="1:7">
      <c r="A86">
        <v>78</v>
      </c>
      <c r="B86">
        <v>10899</v>
      </c>
      <c r="C86" t="s">
        <v>241</v>
      </c>
      <c r="D86" s="387">
        <v>6730</v>
      </c>
      <c r="E86">
        <v>0</v>
      </c>
      <c r="F86">
        <v>0</v>
      </c>
      <c r="G86" s="387">
        <v>6730</v>
      </c>
    </row>
    <row r="87" spans="1:7">
      <c r="A87">
        <v>79</v>
      </c>
      <c r="B87">
        <v>109</v>
      </c>
      <c r="C87" t="s">
        <v>242</v>
      </c>
      <c r="D87" s="387">
        <v>703750855.72000003</v>
      </c>
      <c r="E87" s="387">
        <v>25750959.129999999</v>
      </c>
      <c r="F87" s="387">
        <v>9802879.4000000004</v>
      </c>
      <c r="G87" s="387">
        <v>719698935.45000005</v>
      </c>
    </row>
    <row r="88" spans="1:7">
      <c r="A88">
        <v>80</v>
      </c>
      <c r="B88">
        <v>10900</v>
      </c>
      <c r="C88" t="s">
        <v>243</v>
      </c>
      <c r="D88" s="387">
        <v>242760</v>
      </c>
      <c r="E88" s="387">
        <v>7944865.4100000001</v>
      </c>
      <c r="F88" s="387">
        <v>7944865.4100000001</v>
      </c>
      <c r="G88" s="387">
        <v>242760</v>
      </c>
    </row>
    <row r="89" spans="1:7">
      <c r="A89">
        <v>81</v>
      </c>
      <c r="B89">
        <v>10901</v>
      </c>
      <c r="C89" t="s">
        <v>244</v>
      </c>
      <c r="D89" s="387">
        <v>18855</v>
      </c>
      <c r="E89" s="387">
        <v>2905</v>
      </c>
      <c r="F89" s="387">
        <v>2905</v>
      </c>
      <c r="G89" s="387">
        <v>18855</v>
      </c>
    </row>
    <row r="90" spans="1:7">
      <c r="A90">
        <v>82</v>
      </c>
      <c r="B90">
        <v>10902</v>
      </c>
      <c r="C90" t="s">
        <v>245</v>
      </c>
      <c r="D90" s="387">
        <v>2490637.11</v>
      </c>
      <c r="E90">
        <v>0</v>
      </c>
      <c r="F90">
        <v>0</v>
      </c>
      <c r="G90" s="387">
        <v>2490637.11</v>
      </c>
    </row>
    <row r="91" spans="1:7">
      <c r="A91">
        <v>83</v>
      </c>
      <c r="B91">
        <v>10903</v>
      </c>
      <c r="C91" t="s">
        <v>246</v>
      </c>
      <c r="D91" s="387">
        <v>544017121.42999995</v>
      </c>
      <c r="E91" s="387">
        <v>16325248.58</v>
      </c>
      <c r="F91" s="387">
        <v>1730964.09</v>
      </c>
      <c r="G91" s="387">
        <v>558611405.91999996</v>
      </c>
    </row>
    <row r="92" spans="1:7">
      <c r="A92">
        <v>84</v>
      </c>
      <c r="B92">
        <v>10905</v>
      </c>
      <c r="C92" t="s">
        <v>247</v>
      </c>
      <c r="D92" s="387">
        <v>47424.78</v>
      </c>
      <c r="E92">
        <v>0</v>
      </c>
      <c r="F92">
        <v>0</v>
      </c>
      <c r="G92" s="387">
        <v>47424.78</v>
      </c>
    </row>
    <row r="93" spans="1:7">
      <c r="A93">
        <v>85</v>
      </c>
      <c r="B93">
        <v>10906</v>
      </c>
      <c r="C93" t="s">
        <v>248</v>
      </c>
      <c r="D93" s="387">
        <v>145245.32999999999</v>
      </c>
      <c r="E93">
        <v>0.24</v>
      </c>
      <c r="F93">
        <v>0.12</v>
      </c>
      <c r="G93" s="387">
        <v>145245.45000000001</v>
      </c>
    </row>
    <row r="94" spans="1:7">
      <c r="A94">
        <v>86</v>
      </c>
      <c r="B94">
        <v>10907</v>
      </c>
      <c r="C94" t="s">
        <v>249</v>
      </c>
      <c r="D94" s="387">
        <v>258662.2</v>
      </c>
      <c r="E94">
        <v>0</v>
      </c>
      <c r="F94">
        <v>0</v>
      </c>
      <c r="G94" s="387">
        <v>258662.2</v>
      </c>
    </row>
    <row r="95" spans="1:7">
      <c r="A95">
        <v>87</v>
      </c>
      <c r="B95">
        <v>10999</v>
      </c>
      <c r="C95" t="s">
        <v>243</v>
      </c>
      <c r="D95" s="387">
        <v>156530149.87</v>
      </c>
      <c r="E95" s="387">
        <v>1477939.9</v>
      </c>
      <c r="F95" s="387">
        <v>124144.78</v>
      </c>
      <c r="G95" s="387">
        <v>157883944.99000001</v>
      </c>
    </row>
    <row r="96" spans="1:7">
      <c r="A96">
        <v>88</v>
      </c>
      <c r="B96">
        <v>12</v>
      </c>
      <c r="C96" t="s">
        <v>250</v>
      </c>
      <c r="D96" s="387">
        <v>-23964868985.740002</v>
      </c>
      <c r="E96" s="387">
        <v>826043.75</v>
      </c>
      <c r="F96" s="387">
        <v>3392076208.8800001</v>
      </c>
      <c r="G96" s="387">
        <v>-27356119150.869999</v>
      </c>
    </row>
    <row r="97" spans="1:7">
      <c r="A97">
        <v>89</v>
      </c>
      <c r="B97">
        <v>121</v>
      </c>
      <c r="C97" t="s">
        <v>251</v>
      </c>
      <c r="D97" s="387">
        <v>-793266.85</v>
      </c>
      <c r="E97">
        <v>0</v>
      </c>
      <c r="F97" s="387">
        <v>145551.13</v>
      </c>
      <c r="G97" s="387">
        <v>-938817.98</v>
      </c>
    </row>
    <row r="98" spans="1:7">
      <c r="A98">
        <v>90</v>
      </c>
      <c r="B98">
        <v>12101</v>
      </c>
      <c r="C98" t="s">
        <v>252</v>
      </c>
      <c r="D98" s="387">
        <v>-793266.85</v>
      </c>
      <c r="E98">
        <v>0</v>
      </c>
      <c r="F98" s="387">
        <v>145551.13</v>
      </c>
      <c r="G98" s="387">
        <v>-938817.98</v>
      </c>
    </row>
    <row r="99" spans="1:7">
      <c r="A99">
        <v>91</v>
      </c>
      <c r="B99">
        <v>122</v>
      </c>
      <c r="C99" t="s">
        <v>253</v>
      </c>
      <c r="D99" s="387">
        <v>-173693714.15000001</v>
      </c>
      <c r="E99">
        <v>0</v>
      </c>
      <c r="F99" s="387">
        <v>38257509.490000002</v>
      </c>
      <c r="G99" s="387">
        <v>-211951223.63999999</v>
      </c>
    </row>
    <row r="100" spans="1:7">
      <c r="A100">
        <v>92</v>
      </c>
      <c r="B100">
        <v>12200</v>
      </c>
      <c r="C100" t="s">
        <v>253</v>
      </c>
      <c r="D100" s="387">
        <v>-173693714.15000001</v>
      </c>
      <c r="E100">
        <v>0</v>
      </c>
      <c r="F100" s="387">
        <v>38257509.490000002</v>
      </c>
      <c r="G100" s="387">
        <v>-211951223.63999999</v>
      </c>
    </row>
    <row r="101" spans="1:7">
      <c r="A101">
        <v>93</v>
      </c>
      <c r="B101">
        <v>123</v>
      </c>
      <c r="C101" t="s">
        <v>254</v>
      </c>
      <c r="D101" s="387">
        <v>-1966839.46</v>
      </c>
      <c r="E101">
        <v>0</v>
      </c>
      <c r="F101" s="387">
        <v>124149.57</v>
      </c>
      <c r="G101" s="387">
        <v>-2090989.03</v>
      </c>
    </row>
    <row r="102" spans="1:7">
      <c r="A102">
        <v>94</v>
      </c>
      <c r="B102">
        <v>12300</v>
      </c>
      <c r="C102" t="s">
        <v>254</v>
      </c>
      <c r="D102" s="387">
        <v>-1966839.46</v>
      </c>
      <c r="E102">
        <v>0</v>
      </c>
      <c r="F102" s="387">
        <v>124149.57</v>
      </c>
      <c r="G102" s="387">
        <v>-2090989.03</v>
      </c>
    </row>
    <row r="103" spans="1:7">
      <c r="A103">
        <v>95</v>
      </c>
      <c r="B103">
        <v>124</v>
      </c>
      <c r="C103" t="s">
        <v>255</v>
      </c>
      <c r="D103" s="387">
        <v>-68079434.060000002</v>
      </c>
      <c r="E103">
        <v>0</v>
      </c>
      <c r="F103" s="387">
        <v>10549834.32</v>
      </c>
      <c r="G103" s="387">
        <v>-78629268.379999995</v>
      </c>
    </row>
    <row r="104" spans="1:7">
      <c r="A104">
        <v>96</v>
      </c>
      <c r="B104">
        <v>12400</v>
      </c>
      <c r="C104" t="s">
        <v>255</v>
      </c>
      <c r="D104" s="387">
        <v>-68079434.060000002</v>
      </c>
      <c r="E104">
        <v>0</v>
      </c>
      <c r="F104" s="387">
        <v>10549834.32</v>
      </c>
      <c r="G104" s="387">
        <v>-78629268.379999995</v>
      </c>
    </row>
    <row r="105" spans="1:7">
      <c r="A105">
        <v>97</v>
      </c>
      <c r="B105">
        <v>125</v>
      </c>
      <c r="C105" t="s">
        <v>256</v>
      </c>
      <c r="D105" s="387">
        <v>-6075407641.8800001</v>
      </c>
      <c r="E105" s="387">
        <v>30070.38</v>
      </c>
      <c r="F105" s="387">
        <v>944845429.29999995</v>
      </c>
      <c r="G105" s="387">
        <v>-7020223000.8000002</v>
      </c>
    </row>
    <row r="106" spans="1:7">
      <c r="A106">
        <v>98</v>
      </c>
      <c r="B106">
        <v>12500</v>
      </c>
      <c r="C106" t="s">
        <v>257</v>
      </c>
      <c r="D106" s="387">
        <v>-6092836663.0299997</v>
      </c>
      <c r="E106" s="387">
        <v>30070.38</v>
      </c>
      <c r="F106" s="387">
        <v>944845429.29999995</v>
      </c>
      <c r="G106" s="387">
        <v>-7037652021.9499998</v>
      </c>
    </row>
    <row r="107" spans="1:7">
      <c r="A107">
        <v>99</v>
      </c>
      <c r="B107">
        <v>12501</v>
      </c>
      <c r="C107" t="s">
        <v>258</v>
      </c>
      <c r="D107" s="387">
        <v>17429021.149999999</v>
      </c>
      <c r="E107">
        <v>0</v>
      </c>
      <c r="F107">
        <v>0</v>
      </c>
      <c r="G107" s="387">
        <v>17429021.149999999</v>
      </c>
    </row>
    <row r="108" spans="1:7">
      <c r="A108">
        <v>100</v>
      </c>
      <c r="B108">
        <v>126</v>
      </c>
      <c r="C108" t="s">
        <v>259</v>
      </c>
      <c r="D108" s="387">
        <v>-17078047916.16</v>
      </c>
      <c r="E108">
        <v>0</v>
      </c>
      <c r="F108" s="387">
        <v>2350772821.1100001</v>
      </c>
      <c r="G108" s="387">
        <v>-19428820737.27</v>
      </c>
    </row>
    <row r="109" spans="1:7">
      <c r="A109">
        <v>101</v>
      </c>
      <c r="B109">
        <v>12600</v>
      </c>
      <c r="C109" t="s">
        <v>259</v>
      </c>
      <c r="D109" s="387">
        <v>-17078047916.16</v>
      </c>
      <c r="E109">
        <v>0</v>
      </c>
      <c r="F109" s="387">
        <v>2350772821.1100001</v>
      </c>
      <c r="G109" s="387">
        <v>-19428820737.27</v>
      </c>
    </row>
    <row r="110" spans="1:7">
      <c r="A110">
        <v>102</v>
      </c>
      <c r="B110">
        <v>127</v>
      </c>
      <c r="C110" t="s">
        <v>260</v>
      </c>
      <c r="D110" s="387">
        <v>-18883131.960000001</v>
      </c>
      <c r="E110" s="387">
        <v>795973.37</v>
      </c>
      <c r="F110" s="387">
        <v>2157702.41</v>
      </c>
      <c r="G110" s="387">
        <v>-20244861</v>
      </c>
    </row>
    <row r="111" spans="1:7">
      <c r="A111">
        <v>103</v>
      </c>
      <c r="B111">
        <v>12700</v>
      </c>
      <c r="C111" t="s">
        <v>260</v>
      </c>
      <c r="D111" s="387">
        <v>-18883131.960000001</v>
      </c>
      <c r="E111" s="387">
        <v>789653.37</v>
      </c>
      <c r="F111" s="387">
        <v>2151382.41</v>
      </c>
      <c r="G111" s="387">
        <v>-20244861</v>
      </c>
    </row>
    <row r="112" spans="1:7">
      <c r="A112">
        <v>104</v>
      </c>
      <c r="B112">
        <v>12701</v>
      </c>
      <c r="C112" t="s">
        <v>261</v>
      </c>
      <c r="D112">
        <v>0</v>
      </c>
      <c r="E112" s="387">
        <v>6320</v>
      </c>
      <c r="F112" s="387">
        <v>6320</v>
      </c>
      <c r="G112">
        <v>0</v>
      </c>
    </row>
    <row r="113" spans="1:7">
      <c r="A113">
        <v>105</v>
      </c>
      <c r="B113">
        <v>128</v>
      </c>
      <c r="C113" t="s">
        <v>262</v>
      </c>
      <c r="D113" s="387">
        <v>-62536616.75</v>
      </c>
      <c r="E113">
        <v>0</v>
      </c>
      <c r="F113" s="387">
        <v>8088060.4400000004</v>
      </c>
      <c r="G113" s="387">
        <v>-70624677.189999998</v>
      </c>
    </row>
    <row r="114" spans="1:7">
      <c r="A114">
        <v>106</v>
      </c>
      <c r="B114">
        <v>12800</v>
      </c>
      <c r="C114" t="s">
        <v>262</v>
      </c>
      <c r="D114" s="387">
        <v>-62536616.75</v>
      </c>
      <c r="E114">
        <v>0</v>
      </c>
      <c r="F114" s="387">
        <v>8088060.4400000004</v>
      </c>
      <c r="G114" s="387">
        <v>-70624677.189999998</v>
      </c>
    </row>
    <row r="115" spans="1:7">
      <c r="A115">
        <v>107</v>
      </c>
      <c r="B115">
        <v>129</v>
      </c>
      <c r="C115" t="s">
        <v>263</v>
      </c>
      <c r="D115" s="387">
        <v>-485460424.47000003</v>
      </c>
      <c r="E115">
        <v>0</v>
      </c>
      <c r="F115" s="387">
        <v>37135151.109999999</v>
      </c>
      <c r="G115" s="387">
        <v>-522595575.57999998</v>
      </c>
    </row>
    <row r="116" spans="1:7">
      <c r="A116">
        <v>108</v>
      </c>
      <c r="B116">
        <v>12900</v>
      </c>
      <c r="C116" t="s">
        <v>264</v>
      </c>
      <c r="D116" s="387">
        <v>-485460424.47000003</v>
      </c>
      <c r="E116">
        <v>0</v>
      </c>
      <c r="F116" s="387">
        <v>37135151.109999999</v>
      </c>
      <c r="G116" s="387">
        <v>-522595575.57999998</v>
      </c>
    </row>
    <row r="117" spans="1:7">
      <c r="A117">
        <v>109</v>
      </c>
      <c r="B117">
        <v>14</v>
      </c>
      <c r="C117" t="s">
        <v>265</v>
      </c>
      <c r="D117" s="387">
        <v>1567063114.78</v>
      </c>
      <c r="E117" s="387">
        <v>10550076653.93</v>
      </c>
      <c r="F117" s="387">
        <v>11036246294.41</v>
      </c>
      <c r="G117" s="387">
        <v>1080893474.3</v>
      </c>
    </row>
    <row r="118" spans="1:7">
      <c r="A118">
        <v>110</v>
      </c>
      <c r="B118">
        <v>140</v>
      </c>
      <c r="C118" t="s">
        <v>266</v>
      </c>
      <c r="D118" s="387">
        <v>59022324.530000001</v>
      </c>
      <c r="E118" s="387">
        <v>131413956.75</v>
      </c>
      <c r="F118" s="387">
        <v>158667431.28999999</v>
      </c>
      <c r="G118" s="387">
        <v>31768849.989999998</v>
      </c>
    </row>
    <row r="119" spans="1:7">
      <c r="A119">
        <v>111</v>
      </c>
      <c r="B119">
        <v>14025</v>
      </c>
      <c r="C119" t="s">
        <v>267</v>
      </c>
      <c r="D119">
        <v>0</v>
      </c>
      <c r="E119" s="387">
        <v>421251.99</v>
      </c>
      <c r="F119" s="387">
        <v>347940.73</v>
      </c>
      <c r="G119" s="387">
        <v>73311.259999999995</v>
      </c>
    </row>
    <row r="120" spans="1:7">
      <c r="A120">
        <v>112</v>
      </c>
      <c r="B120">
        <v>14026</v>
      </c>
      <c r="C120" t="s">
        <v>268</v>
      </c>
      <c r="D120" s="387">
        <v>23927742.670000002</v>
      </c>
      <c r="E120" s="387">
        <v>82417856.189999998</v>
      </c>
      <c r="F120" s="387">
        <v>84798547.239999995</v>
      </c>
      <c r="G120" s="387">
        <v>21547051.620000001</v>
      </c>
    </row>
    <row r="121" spans="1:7">
      <c r="A121">
        <v>113</v>
      </c>
      <c r="B121">
        <v>14055</v>
      </c>
      <c r="C121" t="s">
        <v>269</v>
      </c>
      <c r="D121" s="387">
        <v>7069201.7300000004</v>
      </c>
      <c r="E121" s="387">
        <v>9050111.2300000004</v>
      </c>
      <c r="F121" s="387">
        <v>10599633.49</v>
      </c>
      <c r="G121" s="387">
        <v>5519679.4699999997</v>
      </c>
    </row>
    <row r="122" spans="1:7">
      <c r="A122">
        <v>114</v>
      </c>
      <c r="B122">
        <v>14056</v>
      </c>
      <c r="C122" t="s">
        <v>270</v>
      </c>
      <c r="D122" s="387">
        <v>9060462.2400000002</v>
      </c>
      <c r="E122" s="387">
        <v>16785968.969999999</v>
      </c>
      <c r="F122" s="387">
        <v>22389994.43</v>
      </c>
      <c r="G122" s="387">
        <v>3456436.78</v>
      </c>
    </row>
    <row r="123" spans="1:7">
      <c r="A123">
        <v>115</v>
      </c>
      <c r="B123">
        <v>14064</v>
      </c>
      <c r="C123" t="s">
        <v>271</v>
      </c>
      <c r="D123" s="387">
        <v>17868130</v>
      </c>
      <c r="E123" s="387">
        <v>13664505.65</v>
      </c>
      <c r="F123" s="387">
        <v>31532635.649999999</v>
      </c>
      <c r="G123">
        <v>0</v>
      </c>
    </row>
    <row r="124" spans="1:7">
      <c r="A124">
        <v>116</v>
      </c>
      <c r="B124">
        <v>14076</v>
      </c>
      <c r="C124" t="s">
        <v>272</v>
      </c>
      <c r="D124">
        <v>0</v>
      </c>
      <c r="E124" s="387">
        <v>86086.16</v>
      </c>
      <c r="F124" s="387">
        <v>86086.16</v>
      </c>
      <c r="G124">
        <v>0</v>
      </c>
    </row>
    <row r="125" spans="1:7">
      <c r="A125">
        <v>117</v>
      </c>
      <c r="B125">
        <v>14095</v>
      </c>
      <c r="C125" t="s">
        <v>273</v>
      </c>
      <c r="D125" s="387">
        <v>1095923.1499999999</v>
      </c>
      <c r="E125" s="387">
        <v>8988176.5600000005</v>
      </c>
      <c r="F125" s="387">
        <v>8911728.8499999996</v>
      </c>
      <c r="G125" s="387">
        <v>1172370.8600000001</v>
      </c>
    </row>
    <row r="126" spans="1:7">
      <c r="A126">
        <v>118</v>
      </c>
      <c r="B126">
        <v>14096</v>
      </c>
      <c r="C126" t="s">
        <v>274</v>
      </c>
      <c r="D126">
        <v>864.74</v>
      </c>
      <c r="E126">
        <v>0</v>
      </c>
      <c r="F126">
        <v>864.74</v>
      </c>
      <c r="G126">
        <v>0</v>
      </c>
    </row>
    <row r="127" spans="1:7">
      <c r="A127">
        <v>119</v>
      </c>
      <c r="B127">
        <v>141</v>
      </c>
      <c r="C127" t="s">
        <v>275</v>
      </c>
      <c r="D127" s="387">
        <v>4446881.13</v>
      </c>
      <c r="E127" s="387">
        <v>14051947.43</v>
      </c>
      <c r="F127" s="387">
        <v>17926919.16</v>
      </c>
      <c r="G127" s="387">
        <v>571909.4</v>
      </c>
    </row>
    <row r="128" spans="1:7">
      <c r="A128">
        <v>120</v>
      </c>
      <c r="B128">
        <v>14106</v>
      </c>
      <c r="C128" t="s">
        <v>276</v>
      </c>
      <c r="D128">
        <v>0</v>
      </c>
      <c r="E128" s="387">
        <v>8777649.7200000007</v>
      </c>
      <c r="F128" s="387">
        <v>8734038.8200000003</v>
      </c>
      <c r="G128" s="387">
        <v>43610.9</v>
      </c>
    </row>
    <row r="129" spans="1:7">
      <c r="A129">
        <v>121</v>
      </c>
      <c r="B129">
        <v>14109</v>
      </c>
      <c r="C129" t="s">
        <v>277</v>
      </c>
      <c r="D129" s="387">
        <v>458413</v>
      </c>
      <c r="E129">
        <v>0</v>
      </c>
      <c r="F129">
        <v>0</v>
      </c>
      <c r="G129" s="387">
        <v>458413</v>
      </c>
    </row>
    <row r="130" spans="1:7">
      <c r="A130">
        <v>122</v>
      </c>
      <c r="B130">
        <v>14115</v>
      </c>
      <c r="C130" t="s">
        <v>278</v>
      </c>
      <c r="D130">
        <v>0</v>
      </c>
      <c r="E130" s="387">
        <v>16995</v>
      </c>
      <c r="F130" s="387">
        <v>16995</v>
      </c>
      <c r="G130">
        <v>0</v>
      </c>
    </row>
    <row r="131" spans="1:7">
      <c r="A131">
        <v>123</v>
      </c>
      <c r="B131">
        <v>14116</v>
      </c>
      <c r="C131" t="s">
        <v>279</v>
      </c>
      <c r="D131" s="387">
        <v>3988468.13</v>
      </c>
      <c r="E131" s="387">
        <v>4940316.3099999996</v>
      </c>
      <c r="F131" s="387">
        <v>8858898.9399999995</v>
      </c>
      <c r="G131" s="387">
        <v>69885.5</v>
      </c>
    </row>
    <row r="132" spans="1:7">
      <c r="A132">
        <v>124</v>
      </c>
      <c r="B132">
        <v>14146</v>
      </c>
      <c r="C132" t="s">
        <v>280</v>
      </c>
      <c r="D132">
        <v>0</v>
      </c>
      <c r="E132" s="387">
        <v>67388</v>
      </c>
      <c r="F132" s="387">
        <v>67388</v>
      </c>
      <c r="G132">
        <v>0</v>
      </c>
    </row>
    <row r="133" spans="1:7">
      <c r="A133">
        <v>125</v>
      </c>
      <c r="B133">
        <v>14175</v>
      </c>
      <c r="C133" t="s">
        <v>281</v>
      </c>
      <c r="D133">
        <v>0</v>
      </c>
      <c r="E133" s="387">
        <v>234000</v>
      </c>
      <c r="F133" s="387">
        <v>234000</v>
      </c>
      <c r="G133">
        <v>0</v>
      </c>
    </row>
    <row r="134" spans="1:7">
      <c r="A134">
        <v>126</v>
      </c>
      <c r="B134">
        <v>14176</v>
      </c>
      <c r="C134" t="s">
        <v>282</v>
      </c>
      <c r="D134">
        <v>0</v>
      </c>
      <c r="E134" s="387">
        <v>15598.4</v>
      </c>
      <c r="F134" s="387">
        <v>15598.4</v>
      </c>
      <c r="G134">
        <v>0</v>
      </c>
    </row>
    <row r="135" spans="1:7">
      <c r="A135">
        <v>127</v>
      </c>
      <c r="B135">
        <v>142</v>
      </c>
      <c r="C135" t="s">
        <v>283</v>
      </c>
      <c r="D135">
        <v>0</v>
      </c>
      <c r="E135" s="387">
        <v>20000</v>
      </c>
      <c r="F135" s="387">
        <v>20000</v>
      </c>
      <c r="G135">
        <v>0</v>
      </c>
    </row>
    <row r="136" spans="1:7">
      <c r="A136">
        <v>128</v>
      </c>
      <c r="B136">
        <v>14242</v>
      </c>
      <c r="C136" t="s">
        <v>284</v>
      </c>
      <c r="D136">
        <v>0</v>
      </c>
      <c r="E136" s="387">
        <v>20000</v>
      </c>
      <c r="F136" s="387">
        <v>20000</v>
      </c>
      <c r="G136">
        <v>0</v>
      </c>
    </row>
    <row r="137" spans="1:7">
      <c r="A137">
        <v>129</v>
      </c>
      <c r="B137">
        <v>143</v>
      </c>
      <c r="C137" t="s">
        <v>285</v>
      </c>
      <c r="D137">
        <v>0</v>
      </c>
      <c r="E137" s="387">
        <v>38147210.049999997</v>
      </c>
      <c r="F137" s="387">
        <v>38147210.049999997</v>
      </c>
      <c r="G137">
        <v>0</v>
      </c>
    </row>
    <row r="138" spans="1:7">
      <c r="A138">
        <v>130</v>
      </c>
      <c r="B138">
        <v>14399</v>
      </c>
      <c r="C138" t="s">
        <v>286</v>
      </c>
      <c r="D138">
        <v>0</v>
      </c>
      <c r="E138" s="387">
        <v>38147210.049999997</v>
      </c>
      <c r="F138" s="387">
        <v>38147210.049999997</v>
      </c>
      <c r="G138">
        <v>0</v>
      </c>
    </row>
    <row r="139" spans="1:7">
      <c r="A139">
        <v>131</v>
      </c>
      <c r="B139">
        <v>144</v>
      </c>
      <c r="C139" t="s">
        <v>287</v>
      </c>
      <c r="D139">
        <v>0</v>
      </c>
      <c r="E139" s="387">
        <v>344817</v>
      </c>
      <c r="F139" s="387">
        <v>344817</v>
      </c>
      <c r="G139">
        <v>0</v>
      </c>
    </row>
    <row r="140" spans="1:7">
      <c r="A140">
        <v>132</v>
      </c>
      <c r="B140">
        <v>14441</v>
      </c>
      <c r="C140" t="s">
        <v>288</v>
      </c>
      <c r="D140">
        <v>0</v>
      </c>
      <c r="E140" s="387">
        <v>344817</v>
      </c>
      <c r="F140" s="387">
        <v>344817</v>
      </c>
      <c r="G140">
        <v>0</v>
      </c>
    </row>
    <row r="141" spans="1:7">
      <c r="A141">
        <v>133</v>
      </c>
      <c r="B141">
        <v>145</v>
      </c>
      <c r="C141" t="s">
        <v>283</v>
      </c>
      <c r="D141">
        <v>0</v>
      </c>
      <c r="E141" s="387">
        <v>334235</v>
      </c>
      <c r="F141" s="387">
        <v>334235</v>
      </c>
      <c r="G141">
        <v>0</v>
      </c>
    </row>
    <row r="142" spans="1:7">
      <c r="A142">
        <v>134</v>
      </c>
      <c r="B142">
        <v>14516</v>
      </c>
      <c r="C142" t="s">
        <v>289</v>
      </c>
      <c r="D142">
        <v>0</v>
      </c>
      <c r="E142" s="387">
        <v>334235</v>
      </c>
      <c r="F142" s="387">
        <v>334235</v>
      </c>
      <c r="G142">
        <v>0</v>
      </c>
    </row>
    <row r="143" spans="1:7">
      <c r="A143">
        <v>135</v>
      </c>
      <c r="B143">
        <v>146</v>
      </c>
      <c r="C143" t="s">
        <v>290</v>
      </c>
      <c r="D143" s="387">
        <v>612656517.42999995</v>
      </c>
      <c r="E143" s="387">
        <v>2958686314.6900001</v>
      </c>
      <c r="F143" s="387">
        <v>3257848752.6700001</v>
      </c>
      <c r="G143" s="387">
        <v>313494079.44999999</v>
      </c>
    </row>
    <row r="144" spans="1:7">
      <c r="A144">
        <v>136</v>
      </c>
      <c r="B144">
        <v>14605</v>
      </c>
      <c r="C144" t="s">
        <v>291</v>
      </c>
      <c r="D144">
        <v>0</v>
      </c>
      <c r="E144" s="387">
        <v>60467.040000000001</v>
      </c>
      <c r="F144">
        <v>0</v>
      </c>
      <c r="G144" s="387">
        <v>60467.040000000001</v>
      </c>
    </row>
    <row r="145" spans="1:7">
      <c r="A145">
        <v>137</v>
      </c>
      <c r="B145">
        <v>14606</v>
      </c>
      <c r="C145" t="s">
        <v>292</v>
      </c>
      <c r="D145" s="387">
        <v>113959.43</v>
      </c>
      <c r="E145" s="387">
        <v>98896.65</v>
      </c>
      <c r="F145" s="387">
        <v>186476.76</v>
      </c>
      <c r="G145" s="387">
        <v>26379.32</v>
      </c>
    </row>
    <row r="146" spans="1:7">
      <c r="A146">
        <v>138</v>
      </c>
      <c r="B146">
        <v>14613</v>
      </c>
      <c r="C146" t="s">
        <v>293</v>
      </c>
      <c r="D146">
        <v>0</v>
      </c>
      <c r="E146" s="387">
        <v>17743.32</v>
      </c>
      <c r="F146" s="387">
        <v>17743.32</v>
      </c>
      <c r="G146">
        <v>0</v>
      </c>
    </row>
    <row r="147" spans="1:7">
      <c r="A147">
        <v>139</v>
      </c>
      <c r="B147">
        <v>14615</v>
      </c>
      <c r="C147" t="s">
        <v>294</v>
      </c>
      <c r="D147" s="387">
        <v>156302766.66999999</v>
      </c>
      <c r="E147" s="387">
        <v>470733388.10000002</v>
      </c>
      <c r="F147" s="387">
        <v>556522176.20000005</v>
      </c>
      <c r="G147" s="387">
        <v>70513978.569999993</v>
      </c>
    </row>
    <row r="148" spans="1:7">
      <c r="A148">
        <v>140</v>
      </c>
      <c r="B148">
        <v>14616</v>
      </c>
      <c r="C148" t="s">
        <v>295</v>
      </c>
      <c r="D148" s="387">
        <v>277221598.5</v>
      </c>
      <c r="E148" s="387">
        <v>1560577376.02</v>
      </c>
      <c r="F148" s="387">
        <v>1681560618.6600001</v>
      </c>
      <c r="G148" s="387">
        <v>156238355.86000001</v>
      </c>
    </row>
    <row r="149" spans="1:7">
      <c r="A149">
        <v>141</v>
      </c>
      <c r="B149">
        <v>14618</v>
      </c>
      <c r="C149" t="s">
        <v>296</v>
      </c>
      <c r="D149">
        <v>0</v>
      </c>
      <c r="E149" s="387">
        <v>16070.1</v>
      </c>
      <c r="F149" s="387">
        <v>16070.1</v>
      </c>
      <c r="G149">
        <v>0</v>
      </c>
    </row>
    <row r="150" spans="1:7">
      <c r="A150">
        <v>142</v>
      </c>
      <c r="B150">
        <v>14619</v>
      </c>
      <c r="C150" t="s">
        <v>297</v>
      </c>
      <c r="D150">
        <v>0</v>
      </c>
      <c r="E150" s="387">
        <v>3000</v>
      </c>
      <c r="F150" s="387">
        <v>3000</v>
      </c>
      <c r="G150">
        <v>0</v>
      </c>
    </row>
    <row r="151" spans="1:7">
      <c r="A151">
        <v>143</v>
      </c>
      <c r="B151">
        <v>14626</v>
      </c>
      <c r="C151" t="s">
        <v>298</v>
      </c>
      <c r="D151">
        <v>0</v>
      </c>
      <c r="E151" s="387">
        <v>117601</v>
      </c>
      <c r="F151" s="387">
        <v>117601</v>
      </c>
      <c r="G151">
        <v>0</v>
      </c>
    </row>
    <row r="152" spans="1:7">
      <c r="A152">
        <v>144</v>
      </c>
      <c r="B152">
        <v>14655</v>
      </c>
      <c r="C152" t="s">
        <v>299</v>
      </c>
      <c r="D152" s="387">
        <v>100585.66</v>
      </c>
      <c r="E152" s="387">
        <v>485999.98</v>
      </c>
      <c r="F152" s="387">
        <v>488534.6</v>
      </c>
      <c r="G152" s="387">
        <v>98051.04</v>
      </c>
    </row>
    <row r="153" spans="1:7">
      <c r="A153">
        <v>145</v>
      </c>
      <c r="B153">
        <v>14656</v>
      </c>
      <c r="C153" t="s">
        <v>300</v>
      </c>
      <c r="D153" s="387">
        <v>410060.33</v>
      </c>
      <c r="E153" s="387">
        <v>725359.11</v>
      </c>
      <c r="F153" s="387">
        <v>1135419.44</v>
      </c>
      <c r="G153">
        <v>0</v>
      </c>
    </row>
    <row r="154" spans="1:7">
      <c r="A154">
        <v>146</v>
      </c>
      <c r="B154">
        <v>14665</v>
      </c>
      <c r="C154" t="s">
        <v>301</v>
      </c>
      <c r="D154" s="387">
        <v>296937.49</v>
      </c>
      <c r="E154" s="387">
        <v>1824352.61</v>
      </c>
      <c r="F154" s="387">
        <v>2121290.1</v>
      </c>
      <c r="G154">
        <v>0</v>
      </c>
    </row>
    <row r="155" spans="1:7">
      <c r="A155">
        <v>147</v>
      </c>
      <c r="B155">
        <v>14666</v>
      </c>
      <c r="C155" t="s">
        <v>302</v>
      </c>
      <c r="D155">
        <v>0</v>
      </c>
      <c r="E155" s="387">
        <v>388284</v>
      </c>
      <c r="F155" s="387">
        <v>388284</v>
      </c>
      <c r="G155">
        <v>0</v>
      </c>
    </row>
    <row r="156" spans="1:7">
      <c r="A156">
        <v>148</v>
      </c>
      <c r="B156">
        <v>14668</v>
      </c>
      <c r="C156" t="s">
        <v>303</v>
      </c>
      <c r="D156">
        <v>0</v>
      </c>
      <c r="E156" s="387">
        <v>537639</v>
      </c>
      <c r="F156" s="387">
        <v>537639</v>
      </c>
      <c r="G156">
        <v>0</v>
      </c>
    </row>
    <row r="157" spans="1:7">
      <c r="A157">
        <v>149</v>
      </c>
      <c r="B157">
        <v>14675</v>
      </c>
      <c r="C157" t="s">
        <v>304</v>
      </c>
      <c r="D157" s="387">
        <v>416121.59999999998</v>
      </c>
      <c r="E157" s="387">
        <v>5651873.2199999997</v>
      </c>
      <c r="F157" s="387">
        <v>5541074.8899999997</v>
      </c>
      <c r="G157" s="387">
        <v>526919.93000000005</v>
      </c>
    </row>
    <row r="158" spans="1:7">
      <c r="A158">
        <v>150</v>
      </c>
      <c r="B158">
        <v>14676</v>
      </c>
      <c r="C158" t="s">
        <v>305</v>
      </c>
      <c r="D158" s="387">
        <v>97637746.069999993</v>
      </c>
      <c r="E158" s="387">
        <v>545871720.61000001</v>
      </c>
      <c r="F158" s="387">
        <v>590334611.46000004</v>
      </c>
      <c r="G158" s="387">
        <v>53174855.219999999</v>
      </c>
    </row>
    <row r="159" spans="1:7">
      <c r="A159">
        <v>151</v>
      </c>
      <c r="B159">
        <v>14685</v>
      </c>
      <c r="C159" t="s">
        <v>306</v>
      </c>
      <c r="D159" s="387">
        <v>494158.87</v>
      </c>
      <c r="E159" s="387">
        <v>16848399.420000002</v>
      </c>
      <c r="F159" s="387">
        <v>16919361.719999999</v>
      </c>
      <c r="G159" s="387">
        <v>423196.57</v>
      </c>
    </row>
    <row r="160" spans="1:7">
      <c r="A160">
        <v>152</v>
      </c>
      <c r="B160">
        <v>14686</v>
      </c>
      <c r="C160" t="s">
        <v>307</v>
      </c>
      <c r="D160" s="387">
        <v>79662582.810000002</v>
      </c>
      <c r="E160" s="387">
        <v>353794115.57999998</v>
      </c>
      <c r="F160" s="387">
        <v>401126017.77999997</v>
      </c>
      <c r="G160" s="387">
        <v>32330680.609999999</v>
      </c>
    </row>
    <row r="161" spans="1:7">
      <c r="A161">
        <v>153</v>
      </c>
      <c r="B161">
        <v>14696</v>
      </c>
      <c r="C161" t="s">
        <v>308</v>
      </c>
      <c r="D161">
        <v>0</v>
      </c>
      <c r="E161" s="387">
        <v>934028.93</v>
      </c>
      <c r="F161" s="387">
        <v>832833.64</v>
      </c>
      <c r="G161" s="387">
        <v>101195.29</v>
      </c>
    </row>
    <row r="162" spans="1:7">
      <c r="A162">
        <v>154</v>
      </c>
      <c r="B162">
        <v>147</v>
      </c>
      <c r="C162" t="s">
        <v>309</v>
      </c>
      <c r="D162" s="387">
        <v>177465126.56999999</v>
      </c>
      <c r="E162" s="387">
        <v>2330485475.0799999</v>
      </c>
      <c r="F162" s="387">
        <v>2202808272.9000001</v>
      </c>
      <c r="G162" s="387">
        <v>305142328.75</v>
      </c>
    </row>
    <row r="163" spans="1:7">
      <c r="A163">
        <v>155</v>
      </c>
      <c r="B163">
        <v>14701</v>
      </c>
      <c r="C163" t="s">
        <v>310</v>
      </c>
      <c r="D163">
        <v>0</v>
      </c>
      <c r="E163" s="387">
        <v>48501</v>
      </c>
      <c r="F163" s="387">
        <v>48501</v>
      </c>
      <c r="G163">
        <v>0</v>
      </c>
    </row>
    <row r="164" spans="1:7">
      <c r="A164">
        <v>156</v>
      </c>
      <c r="B164">
        <v>14702</v>
      </c>
      <c r="C164" t="s">
        <v>311</v>
      </c>
      <c r="D164">
        <v>0</v>
      </c>
      <c r="E164" s="387">
        <v>134312.76999999999</v>
      </c>
      <c r="F164" s="387">
        <v>134312.76999999999</v>
      </c>
      <c r="G164">
        <v>0</v>
      </c>
    </row>
    <row r="165" spans="1:7">
      <c r="A165">
        <v>157</v>
      </c>
      <c r="B165">
        <v>14705</v>
      </c>
      <c r="C165" t="s">
        <v>312</v>
      </c>
      <c r="D165" s="387">
        <v>41002682.200000003</v>
      </c>
      <c r="E165" s="387">
        <v>110187325.97</v>
      </c>
      <c r="F165" s="387">
        <v>148874975.11000001</v>
      </c>
      <c r="G165" s="387">
        <v>2315033.06</v>
      </c>
    </row>
    <row r="166" spans="1:7">
      <c r="A166">
        <v>158</v>
      </c>
      <c r="B166">
        <v>14706</v>
      </c>
      <c r="C166" t="s">
        <v>313</v>
      </c>
      <c r="D166" s="387">
        <v>129816398.34999999</v>
      </c>
      <c r="E166" s="387">
        <v>2191026985.9400001</v>
      </c>
      <c r="F166" s="387">
        <v>2019380557.29</v>
      </c>
      <c r="G166" s="387">
        <v>301462827</v>
      </c>
    </row>
    <row r="167" spans="1:7">
      <c r="A167">
        <v>159</v>
      </c>
      <c r="B167">
        <v>14708</v>
      </c>
      <c r="C167" t="s">
        <v>314</v>
      </c>
      <c r="D167">
        <v>0</v>
      </c>
      <c r="E167" s="387">
        <v>467363.57</v>
      </c>
      <c r="F167" s="387">
        <v>467363.57</v>
      </c>
      <c r="G167">
        <v>0</v>
      </c>
    </row>
    <row r="168" spans="1:7">
      <c r="A168">
        <v>160</v>
      </c>
      <c r="B168">
        <v>14715</v>
      </c>
      <c r="C168" t="s">
        <v>315</v>
      </c>
      <c r="D168" s="387">
        <v>425591.05</v>
      </c>
      <c r="E168" s="387">
        <v>7522174.6799999997</v>
      </c>
      <c r="F168" s="387">
        <v>7947765.7300000004</v>
      </c>
      <c r="G168">
        <v>0</v>
      </c>
    </row>
    <row r="169" spans="1:7">
      <c r="A169">
        <v>161</v>
      </c>
      <c r="B169">
        <v>14716</v>
      </c>
      <c r="C169" t="s">
        <v>316</v>
      </c>
      <c r="D169" s="387">
        <v>2780498.93</v>
      </c>
      <c r="E169" s="387">
        <v>3682847.66</v>
      </c>
      <c r="F169" s="387">
        <v>6463346.5899999999</v>
      </c>
      <c r="G169">
        <v>0</v>
      </c>
    </row>
    <row r="170" spans="1:7">
      <c r="A170">
        <v>162</v>
      </c>
      <c r="B170">
        <v>14726</v>
      </c>
      <c r="C170" t="s">
        <v>317</v>
      </c>
      <c r="D170">
        <v>0</v>
      </c>
      <c r="E170" s="387">
        <v>24851.22</v>
      </c>
      <c r="F170" s="387">
        <v>24851.22</v>
      </c>
      <c r="G170">
        <v>0</v>
      </c>
    </row>
    <row r="171" spans="1:7">
      <c r="A171">
        <v>163</v>
      </c>
      <c r="B171">
        <v>14730</v>
      </c>
      <c r="C171" t="s">
        <v>318</v>
      </c>
      <c r="D171">
        <v>0</v>
      </c>
      <c r="E171" s="387">
        <v>8159862.54</v>
      </c>
      <c r="F171" s="387">
        <v>8159862.54</v>
      </c>
      <c r="G171">
        <v>0</v>
      </c>
    </row>
    <row r="172" spans="1:7">
      <c r="A172">
        <v>164</v>
      </c>
      <c r="B172">
        <v>14745</v>
      </c>
      <c r="C172" t="s">
        <v>319</v>
      </c>
      <c r="D172">
        <v>0</v>
      </c>
      <c r="E172" s="387">
        <v>72679.490000000005</v>
      </c>
      <c r="F172" s="387">
        <v>72679.490000000005</v>
      </c>
      <c r="G172">
        <v>0</v>
      </c>
    </row>
    <row r="173" spans="1:7">
      <c r="A173">
        <v>165</v>
      </c>
      <c r="B173">
        <v>14746</v>
      </c>
      <c r="C173" t="s">
        <v>320</v>
      </c>
      <c r="D173" s="387">
        <v>3415046.69</v>
      </c>
      <c r="E173" s="387">
        <v>6505045.4800000004</v>
      </c>
      <c r="F173" s="387">
        <v>8713350.2300000004</v>
      </c>
      <c r="G173" s="387">
        <v>1206741.94</v>
      </c>
    </row>
    <row r="174" spans="1:7">
      <c r="A174">
        <v>166</v>
      </c>
      <c r="B174">
        <v>14748</v>
      </c>
      <c r="C174" t="s">
        <v>321</v>
      </c>
      <c r="D174" s="387">
        <v>24909.35</v>
      </c>
      <c r="E174" s="387">
        <v>233455.92</v>
      </c>
      <c r="F174" s="387">
        <v>146688.35999999999</v>
      </c>
      <c r="G174" s="387">
        <v>111676.91</v>
      </c>
    </row>
    <row r="175" spans="1:7">
      <c r="A175">
        <v>167</v>
      </c>
      <c r="B175">
        <v>14762</v>
      </c>
      <c r="C175" t="s">
        <v>322</v>
      </c>
      <c r="D175">
        <v>0</v>
      </c>
      <c r="E175" s="387">
        <v>22968.6</v>
      </c>
      <c r="F175" s="387">
        <v>22968.6</v>
      </c>
      <c r="G175">
        <v>0</v>
      </c>
    </row>
    <row r="176" spans="1:7">
      <c r="A176">
        <v>168</v>
      </c>
      <c r="B176">
        <v>14766</v>
      </c>
      <c r="C176" t="s">
        <v>323</v>
      </c>
      <c r="D176">
        <v>0</v>
      </c>
      <c r="E176" s="387">
        <v>49714.5</v>
      </c>
      <c r="F176" s="387">
        <v>49714.5</v>
      </c>
      <c r="G176">
        <v>0</v>
      </c>
    </row>
    <row r="177" spans="1:7">
      <c r="A177">
        <v>169</v>
      </c>
      <c r="B177">
        <v>14767</v>
      </c>
      <c r="C177" t="s">
        <v>324</v>
      </c>
      <c r="D177">
        <v>0</v>
      </c>
      <c r="E177" s="387">
        <v>2093093</v>
      </c>
      <c r="F177" s="387">
        <v>2093093</v>
      </c>
      <c r="G177">
        <v>0</v>
      </c>
    </row>
    <row r="178" spans="1:7">
      <c r="A178">
        <v>170</v>
      </c>
      <c r="B178">
        <v>14776</v>
      </c>
      <c r="C178" t="s">
        <v>325</v>
      </c>
      <c r="D178">
        <v>0</v>
      </c>
      <c r="E178" s="387">
        <v>123009</v>
      </c>
      <c r="F178" s="387">
        <v>123009</v>
      </c>
      <c r="G178">
        <v>0</v>
      </c>
    </row>
    <row r="179" spans="1:7">
      <c r="A179">
        <v>171</v>
      </c>
      <c r="B179">
        <v>14786</v>
      </c>
      <c r="C179" t="s">
        <v>326</v>
      </c>
      <c r="D179">
        <v>0</v>
      </c>
      <c r="E179" s="387">
        <v>85233.9</v>
      </c>
      <c r="F179" s="387">
        <v>85233.9</v>
      </c>
      <c r="G179">
        <v>0</v>
      </c>
    </row>
    <row r="180" spans="1:7">
      <c r="A180">
        <v>172</v>
      </c>
      <c r="B180">
        <v>14795</v>
      </c>
      <c r="C180" t="s">
        <v>327</v>
      </c>
      <c r="D180">
        <v>0</v>
      </c>
      <c r="E180" s="387">
        <v>46049.84</v>
      </c>
      <c r="F180">
        <v>0</v>
      </c>
      <c r="G180" s="387">
        <v>46049.84</v>
      </c>
    </row>
    <row r="181" spans="1:7">
      <c r="A181">
        <v>173</v>
      </c>
      <c r="B181">
        <v>148</v>
      </c>
      <c r="C181" t="s">
        <v>309</v>
      </c>
      <c r="D181" s="387">
        <v>682961527.65999997</v>
      </c>
      <c r="E181" s="387">
        <v>4428453339.21</v>
      </c>
      <c r="F181" s="387">
        <v>4735162124.9300003</v>
      </c>
      <c r="G181" s="387">
        <v>376252741.94</v>
      </c>
    </row>
    <row r="182" spans="1:7">
      <c r="A182">
        <v>174</v>
      </c>
      <c r="B182">
        <v>14805</v>
      </c>
      <c r="C182" t="s">
        <v>328</v>
      </c>
      <c r="D182" s="387">
        <v>24338.36</v>
      </c>
      <c r="E182" s="387">
        <v>8071.85</v>
      </c>
      <c r="F182" s="387">
        <v>32410.21</v>
      </c>
      <c r="G182">
        <v>0</v>
      </c>
    </row>
    <row r="183" spans="1:7">
      <c r="A183">
        <v>175</v>
      </c>
      <c r="B183">
        <v>14806</v>
      </c>
      <c r="C183" t="s">
        <v>329</v>
      </c>
      <c r="D183" s="387">
        <v>169074.27</v>
      </c>
      <c r="E183" s="387">
        <v>1547237.79</v>
      </c>
      <c r="F183" s="387">
        <v>1647866.47</v>
      </c>
      <c r="G183" s="387">
        <v>68445.59</v>
      </c>
    </row>
    <row r="184" spans="1:7">
      <c r="A184">
        <v>176</v>
      </c>
      <c r="B184">
        <v>14815</v>
      </c>
      <c r="C184" t="s">
        <v>330</v>
      </c>
      <c r="D184" s="387">
        <v>10819703.949999999</v>
      </c>
      <c r="E184" s="387">
        <v>1840715.93</v>
      </c>
      <c r="F184" s="387">
        <v>12593318.24</v>
      </c>
      <c r="G184" s="387">
        <v>67101.64</v>
      </c>
    </row>
    <row r="185" spans="1:7">
      <c r="A185">
        <v>177</v>
      </c>
      <c r="B185">
        <v>14816</v>
      </c>
      <c r="C185" t="s">
        <v>331</v>
      </c>
      <c r="D185" s="387">
        <v>44479421.119999997</v>
      </c>
      <c r="E185" s="387">
        <v>35268160.159999996</v>
      </c>
      <c r="F185" s="387">
        <v>78329044.359999999</v>
      </c>
      <c r="G185" s="387">
        <v>1418536.92</v>
      </c>
    </row>
    <row r="186" spans="1:7">
      <c r="A186">
        <v>178</v>
      </c>
      <c r="B186">
        <v>14855</v>
      </c>
      <c r="C186" t="s">
        <v>332</v>
      </c>
      <c r="D186" s="387">
        <v>20352626.460000001</v>
      </c>
      <c r="E186" s="387">
        <v>38213946.359999999</v>
      </c>
      <c r="F186" s="387">
        <v>48421886.770000003</v>
      </c>
      <c r="G186" s="387">
        <v>10144686.050000001</v>
      </c>
    </row>
    <row r="187" spans="1:7">
      <c r="A187">
        <v>179</v>
      </c>
      <c r="B187">
        <v>14856</v>
      </c>
      <c r="C187" t="s">
        <v>333</v>
      </c>
      <c r="D187" s="387">
        <v>35031840.369999997</v>
      </c>
      <c r="E187" s="387">
        <v>121137212.8</v>
      </c>
      <c r="F187" s="387">
        <v>136027953.71000001</v>
      </c>
      <c r="G187" s="387">
        <v>20141099.460000001</v>
      </c>
    </row>
    <row r="188" spans="1:7">
      <c r="A188">
        <v>180</v>
      </c>
      <c r="B188">
        <v>14865</v>
      </c>
      <c r="C188" t="s">
        <v>334</v>
      </c>
      <c r="D188" s="387">
        <v>776710.45</v>
      </c>
      <c r="E188" s="387">
        <v>15393192.960000001</v>
      </c>
      <c r="F188" s="387">
        <v>11877409.359999999</v>
      </c>
      <c r="G188" s="387">
        <v>4292494.05</v>
      </c>
    </row>
    <row r="189" spans="1:7">
      <c r="A189">
        <v>181</v>
      </c>
      <c r="B189">
        <v>14866</v>
      </c>
      <c r="C189" t="s">
        <v>335</v>
      </c>
      <c r="D189" s="387">
        <v>30909801.43</v>
      </c>
      <c r="E189" s="387">
        <v>42922414.409999996</v>
      </c>
      <c r="F189" s="387">
        <v>66499693.32</v>
      </c>
      <c r="G189" s="387">
        <v>7332522.5199999996</v>
      </c>
    </row>
    <row r="190" spans="1:7">
      <c r="A190">
        <v>182</v>
      </c>
      <c r="B190">
        <v>14868</v>
      </c>
      <c r="C190" t="s">
        <v>336</v>
      </c>
      <c r="D190">
        <v>0</v>
      </c>
      <c r="E190" s="387">
        <v>846779.26</v>
      </c>
      <c r="F190" s="387">
        <v>846779.26</v>
      </c>
      <c r="G190">
        <v>0</v>
      </c>
    </row>
    <row r="191" spans="1:7">
      <c r="A191">
        <v>183</v>
      </c>
      <c r="B191">
        <v>14876</v>
      </c>
      <c r="C191" t="s">
        <v>337</v>
      </c>
      <c r="D191" s="387">
        <v>329658.28000000003</v>
      </c>
      <c r="E191">
        <v>0</v>
      </c>
      <c r="F191" s="387">
        <v>329658.28000000003</v>
      </c>
      <c r="G191">
        <v>0</v>
      </c>
    </row>
    <row r="192" spans="1:7">
      <c r="A192">
        <v>184</v>
      </c>
      <c r="B192">
        <v>14885</v>
      </c>
      <c r="C192" t="s">
        <v>338</v>
      </c>
      <c r="D192" s="387">
        <v>169667415.68000001</v>
      </c>
      <c r="E192" s="387">
        <v>1554359708.46</v>
      </c>
      <c r="F192" s="387">
        <v>1618756738.73</v>
      </c>
      <c r="G192" s="387">
        <v>105270385.41</v>
      </c>
    </row>
    <row r="193" spans="1:7">
      <c r="A193">
        <v>185</v>
      </c>
      <c r="B193">
        <v>14886</v>
      </c>
      <c r="C193" t="s">
        <v>339</v>
      </c>
      <c r="D193" s="387">
        <v>370400937.29000002</v>
      </c>
      <c r="E193" s="387">
        <v>2616765905.48</v>
      </c>
      <c r="F193" s="387">
        <v>2759649372.4699998</v>
      </c>
      <c r="G193" s="387">
        <v>227517470.30000001</v>
      </c>
    </row>
    <row r="194" spans="1:7">
      <c r="A194">
        <v>186</v>
      </c>
      <c r="B194">
        <v>14888</v>
      </c>
      <c r="C194" t="s">
        <v>340</v>
      </c>
      <c r="D194">
        <v>0</v>
      </c>
      <c r="E194" s="387">
        <v>149993.75</v>
      </c>
      <c r="F194" s="387">
        <v>149993.75</v>
      </c>
      <c r="G194">
        <v>0</v>
      </c>
    </row>
    <row r="195" spans="1:7">
      <c r="A195">
        <v>187</v>
      </c>
      <c r="B195">
        <v>149</v>
      </c>
      <c r="C195" t="s">
        <v>341</v>
      </c>
      <c r="D195" s="387">
        <v>30510737.460000001</v>
      </c>
      <c r="E195" s="387">
        <v>648139358.72000003</v>
      </c>
      <c r="F195" s="387">
        <v>624986531.40999997</v>
      </c>
      <c r="G195" s="387">
        <v>53663564.770000003</v>
      </c>
    </row>
    <row r="196" spans="1:7">
      <c r="A196">
        <v>188</v>
      </c>
      <c r="B196">
        <v>14904</v>
      </c>
      <c r="C196" t="s">
        <v>342</v>
      </c>
      <c r="D196">
        <v>0</v>
      </c>
      <c r="E196" s="387">
        <v>1166</v>
      </c>
      <c r="F196" s="387">
        <v>1166</v>
      </c>
      <c r="G196">
        <v>0</v>
      </c>
    </row>
    <row r="197" spans="1:7">
      <c r="A197">
        <v>189</v>
      </c>
      <c r="B197">
        <v>14913</v>
      </c>
      <c r="C197" t="s">
        <v>343</v>
      </c>
      <c r="D197">
        <v>0</v>
      </c>
      <c r="E197" s="387">
        <v>299521.90000000002</v>
      </c>
      <c r="F197" s="387">
        <v>299521.90000000002</v>
      </c>
      <c r="G197">
        <v>0</v>
      </c>
    </row>
    <row r="198" spans="1:7">
      <c r="A198">
        <v>190</v>
      </c>
      <c r="B198">
        <v>14915</v>
      </c>
      <c r="C198" t="s">
        <v>344</v>
      </c>
      <c r="D198" s="387">
        <v>27900</v>
      </c>
      <c r="E198" s="387">
        <v>1139157.8</v>
      </c>
      <c r="F198" s="387">
        <v>1151811.8</v>
      </c>
      <c r="G198" s="387">
        <v>15246</v>
      </c>
    </row>
    <row r="199" spans="1:7">
      <c r="A199">
        <v>191</v>
      </c>
      <c r="B199">
        <v>14917</v>
      </c>
      <c r="C199" t="s">
        <v>345</v>
      </c>
      <c r="D199" s="387">
        <v>47899.76</v>
      </c>
      <c r="E199" s="387">
        <v>150000</v>
      </c>
      <c r="F199" s="387">
        <v>197899.76</v>
      </c>
      <c r="G199">
        <v>0</v>
      </c>
    </row>
    <row r="200" spans="1:7">
      <c r="A200">
        <v>192</v>
      </c>
      <c r="B200">
        <v>14918</v>
      </c>
      <c r="C200" t="s">
        <v>346</v>
      </c>
      <c r="D200">
        <v>0</v>
      </c>
      <c r="E200" s="387">
        <v>5915065.0499999998</v>
      </c>
      <c r="F200" s="387">
        <v>5915065.0499999998</v>
      </c>
      <c r="G200">
        <v>0</v>
      </c>
    </row>
    <row r="201" spans="1:7">
      <c r="A201">
        <v>193</v>
      </c>
      <c r="B201">
        <v>14919</v>
      </c>
      <c r="C201" t="s">
        <v>347</v>
      </c>
      <c r="D201" s="387">
        <v>1025466.24</v>
      </c>
      <c r="E201" s="387">
        <v>9520280.5899999999</v>
      </c>
      <c r="F201" s="387">
        <v>10530198.49</v>
      </c>
      <c r="G201" s="387">
        <v>15548.34</v>
      </c>
    </row>
    <row r="202" spans="1:7">
      <c r="A202">
        <v>194</v>
      </c>
      <c r="B202">
        <v>14921</v>
      </c>
      <c r="C202" t="s">
        <v>348</v>
      </c>
      <c r="D202" s="387">
        <v>17361800</v>
      </c>
      <c r="E202" s="387">
        <v>464993355</v>
      </c>
      <c r="F202" s="387">
        <v>464993355</v>
      </c>
      <c r="G202" s="387">
        <v>17361800</v>
      </c>
    </row>
    <row r="203" spans="1:7">
      <c r="A203">
        <v>195</v>
      </c>
      <c r="B203">
        <v>14922</v>
      </c>
      <c r="C203" t="s">
        <v>349</v>
      </c>
      <c r="D203" s="387">
        <v>760499.58</v>
      </c>
      <c r="E203" s="387">
        <v>53624188.689999998</v>
      </c>
      <c r="F203" s="387">
        <v>20962004.690000001</v>
      </c>
      <c r="G203" s="387">
        <v>33422683.579999998</v>
      </c>
    </row>
    <row r="204" spans="1:7">
      <c r="A204">
        <v>196</v>
      </c>
      <c r="B204">
        <v>14923</v>
      </c>
      <c r="C204" t="s">
        <v>350</v>
      </c>
      <c r="D204">
        <v>0</v>
      </c>
      <c r="E204" s="387">
        <v>138060</v>
      </c>
      <c r="F204" s="387">
        <v>138060</v>
      </c>
      <c r="G204">
        <v>0</v>
      </c>
    </row>
    <row r="205" spans="1:7">
      <c r="A205">
        <v>197</v>
      </c>
      <c r="B205">
        <v>14924</v>
      </c>
      <c r="C205" t="s">
        <v>351</v>
      </c>
      <c r="D205" s="387">
        <v>2800192.14</v>
      </c>
      <c r="E205" s="387">
        <v>58709139.799999997</v>
      </c>
      <c r="F205" s="387">
        <v>59459777.869999997</v>
      </c>
      <c r="G205" s="387">
        <v>2049554.07</v>
      </c>
    </row>
    <row r="206" spans="1:7">
      <c r="A206">
        <v>198</v>
      </c>
      <c r="B206">
        <v>14925</v>
      </c>
      <c r="C206" t="s">
        <v>352</v>
      </c>
      <c r="D206">
        <v>0</v>
      </c>
      <c r="E206" s="387">
        <v>1026388.48</v>
      </c>
      <c r="F206" s="387">
        <v>1026388.48</v>
      </c>
      <c r="G206">
        <v>0</v>
      </c>
    </row>
    <row r="207" spans="1:7">
      <c r="A207">
        <v>199</v>
      </c>
      <c r="B207">
        <v>14926</v>
      </c>
      <c r="C207" t="s">
        <v>353</v>
      </c>
      <c r="D207">
        <v>0</v>
      </c>
      <c r="E207" s="387">
        <v>132478.16</v>
      </c>
      <c r="F207" s="387">
        <v>132478.16</v>
      </c>
      <c r="G207">
        <v>0</v>
      </c>
    </row>
    <row r="208" spans="1:7">
      <c r="A208">
        <v>200</v>
      </c>
      <c r="B208">
        <v>14928</v>
      </c>
      <c r="C208" t="s">
        <v>354</v>
      </c>
      <c r="D208">
        <v>0</v>
      </c>
      <c r="E208" s="387">
        <v>850567.6</v>
      </c>
      <c r="F208" s="387">
        <v>850567.6</v>
      </c>
      <c r="G208">
        <v>0</v>
      </c>
    </row>
    <row r="209" spans="1:7">
      <c r="A209">
        <v>201</v>
      </c>
      <c r="B209">
        <v>14929</v>
      </c>
      <c r="C209" t="s">
        <v>355</v>
      </c>
      <c r="D209">
        <v>0</v>
      </c>
      <c r="E209" s="387">
        <v>28567041.879999999</v>
      </c>
      <c r="F209" s="387">
        <v>28567041.879999999</v>
      </c>
      <c r="G209">
        <v>0</v>
      </c>
    </row>
    <row r="210" spans="1:7">
      <c r="A210">
        <v>202</v>
      </c>
      <c r="B210">
        <v>14934</v>
      </c>
      <c r="C210" t="s">
        <v>356</v>
      </c>
      <c r="D210">
        <v>0</v>
      </c>
      <c r="E210" s="387">
        <v>385485</v>
      </c>
      <c r="F210" s="387">
        <v>385485</v>
      </c>
      <c r="G210">
        <v>0</v>
      </c>
    </row>
    <row r="211" spans="1:7">
      <c r="A211">
        <v>203</v>
      </c>
      <c r="B211">
        <v>14936</v>
      </c>
      <c r="C211" t="s">
        <v>357</v>
      </c>
      <c r="D211">
        <v>0</v>
      </c>
      <c r="E211">
        <v>748</v>
      </c>
      <c r="F211">
        <v>748</v>
      </c>
      <c r="G211">
        <v>0</v>
      </c>
    </row>
    <row r="212" spans="1:7">
      <c r="A212">
        <v>204</v>
      </c>
      <c r="B212">
        <v>14955</v>
      </c>
      <c r="C212" t="s">
        <v>358</v>
      </c>
      <c r="D212" s="387">
        <v>916479.75</v>
      </c>
      <c r="E212" s="387">
        <v>96297.22</v>
      </c>
      <c r="F212" s="387">
        <v>588839.31000000006</v>
      </c>
      <c r="G212" s="387">
        <v>423937.66</v>
      </c>
    </row>
    <row r="213" spans="1:7">
      <c r="A213">
        <v>205</v>
      </c>
      <c r="B213">
        <v>14956</v>
      </c>
      <c r="C213" t="s">
        <v>359</v>
      </c>
      <c r="D213" s="387">
        <v>7204150.8600000003</v>
      </c>
      <c r="E213" s="387">
        <v>17298841.940000001</v>
      </c>
      <c r="F213" s="387">
        <v>24128197.68</v>
      </c>
      <c r="G213" s="387">
        <v>374795.12</v>
      </c>
    </row>
    <row r="214" spans="1:7">
      <c r="A214">
        <v>206</v>
      </c>
      <c r="B214">
        <v>14959</v>
      </c>
      <c r="C214" t="s">
        <v>360</v>
      </c>
      <c r="D214" s="387">
        <v>241292.86</v>
      </c>
      <c r="E214" s="387">
        <v>313902.59999999998</v>
      </c>
      <c r="F214" s="387">
        <v>555195.46</v>
      </c>
      <c r="G214">
        <v>0</v>
      </c>
    </row>
    <row r="215" spans="1:7">
      <c r="A215">
        <v>207</v>
      </c>
      <c r="B215">
        <v>14964</v>
      </c>
      <c r="C215" t="s">
        <v>361</v>
      </c>
      <c r="D215">
        <v>0</v>
      </c>
      <c r="E215" s="387">
        <v>3452290.64</v>
      </c>
      <c r="F215" s="387">
        <v>3452290.64</v>
      </c>
      <c r="G215">
        <v>0</v>
      </c>
    </row>
    <row r="216" spans="1:7">
      <c r="A216">
        <v>208</v>
      </c>
      <c r="B216">
        <v>14976</v>
      </c>
      <c r="C216" t="s">
        <v>362</v>
      </c>
      <c r="D216" s="387">
        <v>125056.27</v>
      </c>
      <c r="E216" s="387">
        <v>555603.87</v>
      </c>
      <c r="F216" s="387">
        <v>680660.14</v>
      </c>
      <c r="G216">
        <v>0</v>
      </c>
    </row>
    <row r="217" spans="1:7">
      <c r="A217">
        <v>209</v>
      </c>
      <c r="B217">
        <v>14981</v>
      </c>
      <c r="C217" t="s">
        <v>363</v>
      </c>
      <c r="D217">
        <v>0</v>
      </c>
      <c r="E217" s="387">
        <v>567817</v>
      </c>
      <c r="F217" s="387">
        <v>567817</v>
      </c>
      <c r="G217">
        <v>0</v>
      </c>
    </row>
    <row r="218" spans="1:7">
      <c r="A218">
        <v>210</v>
      </c>
      <c r="B218">
        <v>14989</v>
      </c>
      <c r="C218" t="s">
        <v>364</v>
      </c>
      <c r="D218">
        <v>0</v>
      </c>
      <c r="E218" s="387">
        <v>401961.5</v>
      </c>
      <c r="F218" s="387">
        <v>401961.5</v>
      </c>
      <c r="G218">
        <v>0</v>
      </c>
    </row>
    <row r="219" spans="1:7">
      <c r="A219">
        <v>211</v>
      </c>
      <c r="B219">
        <v>15</v>
      </c>
      <c r="C219" t="s">
        <v>365</v>
      </c>
      <c r="D219" s="387">
        <v>31239078.66</v>
      </c>
      <c r="E219" s="387">
        <v>2084234907.73</v>
      </c>
      <c r="F219" s="387">
        <v>2115473986.4100001</v>
      </c>
      <c r="G219">
        <v>-0.02</v>
      </c>
    </row>
    <row r="220" spans="1:7">
      <c r="A220">
        <v>212</v>
      </c>
      <c r="B220">
        <v>152</v>
      </c>
      <c r="C220" t="s">
        <v>366</v>
      </c>
      <c r="D220" s="387">
        <v>31239078.66</v>
      </c>
      <c r="E220" s="387">
        <v>2084234907.73</v>
      </c>
      <c r="F220" s="387">
        <v>2115473986.4100001</v>
      </c>
      <c r="G220">
        <v>-0.02</v>
      </c>
    </row>
    <row r="221" spans="1:7">
      <c r="A221">
        <v>213</v>
      </c>
      <c r="B221">
        <v>15230</v>
      </c>
      <c r="C221" t="s">
        <v>367</v>
      </c>
      <c r="D221" s="387">
        <v>31239078.66</v>
      </c>
      <c r="E221" s="387">
        <v>10960025.73</v>
      </c>
      <c r="F221" s="387">
        <v>42199104.390000001</v>
      </c>
      <c r="G221">
        <v>0</v>
      </c>
    </row>
    <row r="222" spans="1:7">
      <c r="A222">
        <v>214</v>
      </c>
      <c r="B222">
        <v>15240</v>
      </c>
      <c r="C222" t="s">
        <v>368</v>
      </c>
      <c r="D222">
        <v>0</v>
      </c>
      <c r="E222" s="387">
        <v>2073274882</v>
      </c>
      <c r="F222" s="387">
        <v>2073274882.02</v>
      </c>
      <c r="G222">
        <v>-0.02</v>
      </c>
    </row>
    <row r="223" spans="1:7">
      <c r="A223">
        <v>215</v>
      </c>
      <c r="B223">
        <v>16</v>
      </c>
      <c r="C223" t="s">
        <v>369</v>
      </c>
      <c r="D223">
        <v>0</v>
      </c>
      <c r="E223" s="387">
        <v>5523168.6200000001</v>
      </c>
      <c r="F223" s="387">
        <v>5523168.6200000001</v>
      </c>
      <c r="G223">
        <v>0</v>
      </c>
    </row>
    <row r="224" spans="1:7">
      <c r="A224">
        <v>216</v>
      </c>
      <c r="B224">
        <v>161</v>
      </c>
      <c r="C224" t="s">
        <v>370</v>
      </c>
      <c r="D224">
        <v>0</v>
      </c>
      <c r="E224" s="387">
        <v>5523168.6200000001</v>
      </c>
      <c r="F224" s="387">
        <v>5523168.6200000001</v>
      </c>
      <c r="G224">
        <v>0</v>
      </c>
    </row>
    <row r="225" spans="1:7">
      <c r="A225">
        <v>217</v>
      </c>
      <c r="B225">
        <v>16160</v>
      </c>
      <c r="C225" t="s">
        <v>371</v>
      </c>
      <c r="D225">
        <v>0</v>
      </c>
      <c r="E225" s="387">
        <v>5388559.7000000002</v>
      </c>
      <c r="F225" s="387">
        <v>5388559.7000000002</v>
      </c>
      <c r="G225">
        <v>0</v>
      </c>
    </row>
    <row r="226" spans="1:7">
      <c r="A226">
        <v>218</v>
      </c>
      <c r="B226">
        <v>16170</v>
      </c>
      <c r="C226" t="s">
        <v>372</v>
      </c>
      <c r="D226">
        <v>0</v>
      </c>
      <c r="E226" s="387">
        <v>131608.92000000001</v>
      </c>
      <c r="F226" s="387">
        <v>131608.92000000001</v>
      </c>
      <c r="G226">
        <v>0</v>
      </c>
    </row>
    <row r="227" spans="1:7">
      <c r="A227">
        <v>219</v>
      </c>
      <c r="B227">
        <v>16190</v>
      </c>
      <c r="C227" t="s">
        <v>373</v>
      </c>
      <c r="D227">
        <v>0</v>
      </c>
      <c r="E227" s="387">
        <v>3000</v>
      </c>
      <c r="F227" s="387">
        <v>3000</v>
      </c>
      <c r="G227">
        <v>0</v>
      </c>
    </row>
    <row r="228" spans="1:7">
      <c r="A228">
        <v>220</v>
      </c>
      <c r="B228">
        <v>19</v>
      </c>
      <c r="C228" t="s">
        <v>374</v>
      </c>
      <c r="D228">
        <v>0</v>
      </c>
      <c r="E228" s="387">
        <v>36349598.229999997</v>
      </c>
      <c r="F228" s="387">
        <v>33398009.670000002</v>
      </c>
      <c r="G228" s="387">
        <v>2951588.56</v>
      </c>
    </row>
    <row r="229" spans="1:7">
      <c r="A229">
        <v>221</v>
      </c>
      <c r="B229">
        <v>190</v>
      </c>
      <c r="C229" t="s">
        <v>375</v>
      </c>
      <c r="D229">
        <v>0</v>
      </c>
      <c r="E229" s="387">
        <v>6893383.0599999996</v>
      </c>
      <c r="F229" s="387">
        <v>6373709.0599999996</v>
      </c>
      <c r="G229" s="387">
        <v>519674</v>
      </c>
    </row>
    <row r="230" spans="1:7">
      <c r="A230">
        <v>222</v>
      </c>
      <c r="B230">
        <v>19006</v>
      </c>
      <c r="C230" t="s">
        <v>376</v>
      </c>
      <c r="D230">
        <v>0</v>
      </c>
      <c r="E230" s="387">
        <v>6893383.0599999996</v>
      </c>
      <c r="F230" s="387">
        <v>6373709.0599999996</v>
      </c>
      <c r="G230" s="387">
        <v>519674</v>
      </c>
    </row>
    <row r="231" spans="1:7">
      <c r="A231">
        <v>223</v>
      </c>
      <c r="B231">
        <v>191</v>
      </c>
      <c r="C231" t="s">
        <v>375</v>
      </c>
      <c r="D231">
        <v>0</v>
      </c>
      <c r="E231" s="387">
        <v>29456215.170000002</v>
      </c>
      <c r="F231" s="387">
        <v>27024300.609999999</v>
      </c>
      <c r="G231" s="387">
        <v>2431914.56</v>
      </c>
    </row>
    <row r="232" spans="1:7">
      <c r="A232">
        <v>224</v>
      </c>
      <c r="B232">
        <v>19105</v>
      </c>
      <c r="C232" t="s">
        <v>377</v>
      </c>
      <c r="D232">
        <v>0</v>
      </c>
      <c r="E232" s="387">
        <v>29456215.170000002</v>
      </c>
      <c r="F232" s="387">
        <v>27024300.609999999</v>
      </c>
      <c r="G232" s="387">
        <v>2431914.56</v>
      </c>
    </row>
    <row r="233" spans="1:7">
      <c r="A233">
        <v>225</v>
      </c>
      <c r="B233">
        <v>20</v>
      </c>
      <c r="C233" t="s">
        <v>378</v>
      </c>
      <c r="D233" s="387">
        <v>11940740.609999999</v>
      </c>
      <c r="E233" s="387">
        <v>6017174.0199999996</v>
      </c>
      <c r="F233" s="387">
        <v>4667631.08</v>
      </c>
      <c r="G233" s="387">
        <v>13290283.550000001</v>
      </c>
    </row>
    <row r="234" spans="1:7">
      <c r="A234">
        <v>226</v>
      </c>
      <c r="B234">
        <v>202</v>
      </c>
      <c r="C234" t="s">
        <v>379</v>
      </c>
      <c r="D234" s="387">
        <v>11924539.609999999</v>
      </c>
      <c r="E234" s="387">
        <v>6017174.0199999996</v>
      </c>
      <c r="F234" s="387">
        <v>4651430.08</v>
      </c>
      <c r="G234" s="387">
        <v>13290283.550000001</v>
      </c>
    </row>
    <row r="235" spans="1:7">
      <c r="A235">
        <v>227</v>
      </c>
      <c r="B235">
        <v>20281</v>
      </c>
      <c r="C235" t="s">
        <v>380</v>
      </c>
      <c r="D235" s="387">
        <v>11758918.25</v>
      </c>
      <c r="E235" s="387">
        <v>4021349.38</v>
      </c>
      <c r="F235" s="387">
        <v>4575694.08</v>
      </c>
      <c r="G235" s="387">
        <v>11204573.550000001</v>
      </c>
    </row>
    <row r="236" spans="1:7">
      <c r="A236">
        <v>228</v>
      </c>
      <c r="B236">
        <v>20282</v>
      </c>
      <c r="C236" t="s">
        <v>381</v>
      </c>
      <c r="D236">
        <v>0</v>
      </c>
      <c r="E236" s="387">
        <v>1913534</v>
      </c>
      <c r="F236">
        <v>0</v>
      </c>
      <c r="G236" s="387">
        <v>1913534</v>
      </c>
    </row>
    <row r="237" spans="1:7">
      <c r="A237">
        <v>229</v>
      </c>
      <c r="B237">
        <v>20283</v>
      </c>
      <c r="C237" t="s">
        <v>382</v>
      </c>
      <c r="D237" s="387">
        <v>165621.35999999999</v>
      </c>
      <c r="E237" s="387">
        <v>82290.64</v>
      </c>
      <c r="F237" s="387">
        <v>75736</v>
      </c>
      <c r="G237" s="387">
        <v>172176</v>
      </c>
    </row>
    <row r="238" spans="1:7">
      <c r="A238">
        <v>230</v>
      </c>
      <c r="B238">
        <v>206</v>
      </c>
      <c r="D238" s="387">
        <v>16201</v>
      </c>
      <c r="E238">
        <v>0</v>
      </c>
      <c r="F238" s="387">
        <v>16201</v>
      </c>
      <c r="G238">
        <v>0</v>
      </c>
    </row>
    <row r="239" spans="1:7">
      <c r="A239">
        <v>231</v>
      </c>
      <c r="B239">
        <v>20606</v>
      </c>
      <c r="C239" t="s">
        <v>383</v>
      </c>
      <c r="D239" s="387">
        <v>16201</v>
      </c>
      <c r="E239">
        <v>0</v>
      </c>
      <c r="F239" s="387">
        <v>16201</v>
      </c>
      <c r="G239">
        <v>0</v>
      </c>
    </row>
    <row r="240" spans="1:7">
      <c r="A240">
        <v>232</v>
      </c>
      <c r="B240">
        <v>22</v>
      </c>
      <c r="C240" t="s">
        <v>384</v>
      </c>
      <c r="D240" s="387">
        <v>3204376565.4899998</v>
      </c>
      <c r="E240" s="387">
        <v>23316405520.759998</v>
      </c>
      <c r="F240" s="387">
        <v>23716237978.290001</v>
      </c>
      <c r="G240" s="387">
        <v>2804544107.96</v>
      </c>
    </row>
    <row r="241" spans="1:7">
      <c r="A241">
        <v>233</v>
      </c>
      <c r="B241">
        <v>222</v>
      </c>
      <c r="C241" t="s">
        <v>385</v>
      </c>
      <c r="D241">
        <v>0</v>
      </c>
      <c r="E241" s="387">
        <v>7340290617.2299995</v>
      </c>
      <c r="F241" s="387">
        <v>3902853249.8099999</v>
      </c>
      <c r="G241" s="387">
        <v>3437437367.4200001</v>
      </c>
    </row>
    <row r="242" spans="1:7">
      <c r="A242">
        <v>234</v>
      </c>
      <c r="B242">
        <v>22221</v>
      </c>
      <c r="C242" t="s">
        <v>386</v>
      </c>
      <c r="D242">
        <v>0</v>
      </c>
      <c r="E242" s="387">
        <v>3488642803.9699998</v>
      </c>
      <c r="F242" s="387">
        <v>175074812.75999999</v>
      </c>
      <c r="G242" s="387">
        <v>3313567991.21</v>
      </c>
    </row>
    <row r="243" spans="1:7">
      <c r="A243">
        <v>235</v>
      </c>
      <c r="B243">
        <v>22222</v>
      </c>
      <c r="C243" t="s">
        <v>387</v>
      </c>
      <c r="D243">
        <v>0</v>
      </c>
      <c r="E243" s="387">
        <v>133326057.79000001</v>
      </c>
      <c r="F243" s="387">
        <v>9456681.5800000001</v>
      </c>
      <c r="G243" s="387">
        <v>123869376.20999999</v>
      </c>
    </row>
    <row r="244" spans="1:7">
      <c r="A244">
        <v>236</v>
      </c>
      <c r="B244">
        <v>22250</v>
      </c>
      <c r="C244" t="s">
        <v>388</v>
      </c>
      <c r="D244">
        <v>0</v>
      </c>
      <c r="E244" s="387">
        <v>137573963.25999999</v>
      </c>
      <c r="F244" s="387">
        <v>3575011330.4499998</v>
      </c>
      <c r="G244" s="387">
        <v>-3437437367.1900001</v>
      </c>
    </row>
    <row r="245" spans="1:7">
      <c r="A245">
        <v>237</v>
      </c>
      <c r="B245">
        <v>22251</v>
      </c>
      <c r="C245" t="s">
        <v>389</v>
      </c>
      <c r="D245">
        <v>0</v>
      </c>
      <c r="E245" s="387">
        <v>327572888.94</v>
      </c>
      <c r="F245" s="387">
        <v>4727776.2</v>
      </c>
      <c r="G245" s="387">
        <v>322845112.74000001</v>
      </c>
    </row>
    <row r="246" spans="1:7">
      <c r="A246">
        <v>238</v>
      </c>
      <c r="B246">
        <v>22253</v>
      </c>
      <c r="C246" t="s">
        <v>390</v>
      </c>
      <c r="D246">
        <v>0</v>
      </c>
      <c r="E246" s="387">
        <v>1026830567.27</v>
      </c>
      <c r="F246" s="387">
        <v>60897445.259999998</v>
      </c>
      <c r="G246" s="387">
        <v>965933122.00999999</v>
      </c>
    </row>
    <row r="247" spans="1:7">
      <c r="A247">
        <v>239</v>
      </c>
      <c r="B247">
        <v>22254</v>
      </c>
      <c r="C247" t="s">
        <v>391</v>
      </c>
      <c r="D247">
        <v>0</v>
      </c>
      <c r="E247" s="387">
        <v>236249567.34</v>
      </c>
      <c r="F247" s="387">
        <v>4126496.93</v>
      </c>
      <c r="G247" s="387">
        <v>232123070.41</v>
      </c>
    </row>
    <row r="248" spans="1:7">
      <c r="A248">
        <v>240</v>
      </c>
      <c r="B248">
        <v>22255</v>
      </c>
      <c r="C248" t="s">
        <v>392</v>
      </c>
      <c r="D248">
        <v>0</v>
      </c>
      <c r="E248" s="387">
        <v>1460668131.29</v>
      </c>
      <c r="F248" s="387">
        <v>44995569.549999997</v>
      </c>
      <c r="G248" s="387">
        <v>1415672561.74</v>
      </c>
    </row>
    <row r="249" spans="1:7">
      <c r="A249">
        <v>241</v>
      </c>
      <c r="B249">
        <v>22256</v>
      </c>
      <c r="C249" t="s">
        <v>393</v>
      </c>
      <c r="D249">
        <v>0</v>
      </c>
      <c r="E249" s="387">
        <v>208868756.72</v>
      </c>
      <c r="F249" s="387">
        <v>20783157.199999999</v>
      </c>
      <c r="G249" s="387">
        <v>188085599.52000001</v>
      </c>
    </row>
    <row r="250" spans="1:7">
      <c r="A250">
        <v>242</v>
      </c>
      <c r="B250">
        <v>22257</v>
      </c>
      <c r="C250" t="s">
        <v>394</v>
      </c>
      <c r="D250">
        <v>0</v>
      </c>
      <c r="E250" s="387">
        <v>108074494.41</v>
      </c>
      <c r="F250" s="387">
        <v>1736300</v>
      </c>
      <c r="G250" s="387">
        <v>106338194.41</v>
      </c>
    </row>
    <row r="251" spans="1:7">
      <c r="A251">
        <v>243</v>
      </c>
      <c r="B251">
        <v>22259</v>
      </c>
      <c r="C251" t="s">
        <v>395</v>
      </c>
      <c r="D251">
        <v>0</v>
      </c>
      <c r="E251" s="387">
        <v>212483386.24000001</v>
      </c>
      <c r="F251" s="387">
        <v>6043679.8799999999</v>
      </c>
      <c r="G251" s="387">
        <v>206439706.36000001</v>
      </c>
    </row>
    <row r="252" spans="1:7">
      <c r="A252">
        <v>244</v>
      </c>
      <c r="B252">
        <v>223</v>
      </c>
      <c r="C252" t="s">
        <v>396</v>
      </c>
      <c r="D252">
        <v>0</v>
      </c>
      <c r="E252" s="387">
        <v>7516880753.9300003</v>
      </c>
      <c r="F252" s="387">
        <v>11377411238.549999</v>
      </c>
      <c r="G252" s="387">
        <v>-3860530484.6199999</v>
      </c>
    </row>
    <row r="253" spans="1:7">
      <c r="A253">
        <v>245</v>
      </c>
      <c r="B253">
        <v>22300</v>
      </c>
      <c r="C253" t="s">
        <v>397</v>
      </c>
      <c r="D253">
        <v>0</v>
      </c>
      <c r="E253" s="387">
        <v>1460300793.4300001</v>
      </c>
      <c r="F253" s="387">
        <v>4013286807.75</v>
      </c>
      <c r="G253" s="387">
        <v>-2552986014.3200002</v>
      </c>
    </row>
    <row r="254" spans="1:7">
      <c r="A254">
        <v>246</v>
      </c>
      <c r="B254">
        <v>22321</v>
      </c>
      <c r="C254" t="s">
        <v>398</v>
      </c>
      <c r="D254">
        <v>0</v>
      </c>
      <c r="E254" s="387">
        <v>2744293486.3200002</v>
      </c>
      <c r="F254" s="387">
        <v>4051837956.5900002</v>
      </c>
      <c r="G254" s="387">
        <v>-1307544470.27</v>
      </c>
    </row>
    <row r="255" spans="1:7">
      <c r="A255">
        <v>247</v>
      </c>
      <c r="B255">
        <v>22391</v>
      </c>
      <c r="C255" t="s">
        <v>399</v>
      </c>
      <c r="D255">
        <v>0</v>
      </c>
      <c r="E255" s="387">
        <v>2800900531.54</v>
      </c>
      <c r="F255" s="387">
        <v>387821416.50999999</v>
      </c>
      <c r="G255" s="387">
        <v>2413079115.0300002</v>
      </c>
    </row>
    <row r="256" spans="1:7">
      <c r="A256">
        <v>248</v>
      </c>
      <c r="B256">
        <v>22392</v>
      </c>
      <c r="C256" t="s">
        <v>400</v>
      </c>
      <c r="D256">
        <v>0</v>
      </c>
      <c r="E256" s="387">
        <v>116783557.06999999</v>
      </c>
      <c r="F256" s="387">
        <v>6780969.0599999996</v>
      </c>
      <c r="G256" s="387">
        <v>110002588.01000001</v>
      </c>
    </row>
    <row r="257" spans="1:7">
      <c r="A257">
        <v>249</v>
      </c>
      <c r="B257">
        <v>22399</v>
      </c>
      <c r="C257" t="s">
        <v>401</v>
      </c>
      <c r="D257">
        <v>0</v>
      </c>
      <c r="E257" s="387">
        <v>394602385.56999999</v>
      </c>
      <c r="F257" s="387">
        <v>2917684088.6399999</v>
      </c>
      <c r="G257" s="387">
        <v>-2523081703.0700002</v>
      </c>
    </row>
    <row r="258" spans="1:7">
      <c r="A258">
        <v>250</v>
      </c>
      <c r="B258">
        <v>224</v>
      </c>
      <c r="C258" t="s">
        <v>402</v>
      </c>
      <c r="D258">
        <v>0</v>
      </c>
      <c r="E258" s="387">
        <v>3088553158.0999999</v>
      </c>
      <c r="F258" s="387">
        <v>3055255570.6700001</v>
      </c>
      <c r="G258" s="387">
        <v>33297587.43</v>
      </c>
    </row>
    <row r="259" spans="1:7">
      <c r="A259">
        <v>251</v>
      </c>
      <c r="B259">
        <v>22400</v>
      </c>
      <c r="C259" t="s">
        <v>403</v>
      </c>
      <c r="D259">
        <v>0</v>
      </c>
      <c r="E259" s="387">
        <v>3043487329.7399998</v>
      </c>
      <c r="F259" s="387">
        <v>364424245.06</v>
      </c>
      <c r="G259" s="387">
        <v>2679063084.6799998</v>
      </c>
    </row>
    <row r="260" spans="1:7">
      <c r="A260">
        <v>252</v>
      </c>
      <c r="B260">
        <v>22450</v>
      </c>
      <c r="C260" t="s">
        <v>404</v>
      </c>
      <c r="D260">
        <v>0</v>
      </c>
      <c r="E260" s="387">
        <v>45065828.359999999</v>
      </c>
      <c r="F260" s="387">
        <v>2690831325.6100001</v>
      </c>
      <c r="G260" s="387">
        <v>-2645765497.25</v>
      </c>
    </row>
    <row r="261" spans="1:7">
      <c r="A261">
        <v>253</v>
      </c>
      <c r="B261">
        <v>225</v>
      </c>
      <c r="C261" t="s">
        <v>405</v>
      </c>
      <c r="D261">
        <v>0</v>
      </c>
      <c r="E261" s="387">
        <v>27018.01</v>
      </c>
      <c r="F261" s="387">
        <v>27017.96</v>
      </c>
      <c r="G261">
        <v>0.05</v>
      </c>
    </row>
    <row r="262" spans="1:7">
      <c r="A262">
        <v>254</v>
      </c>
      <c r="B262">
        <v>22500</v>
      </c>
      <c r="C262" t="s">
        <v>405</v>
      </c>
      <c r="D262">
        <v>0</v>
      </c>
      <c r="E262" s="387">
        <v>27018.01</v>
      </c>
      <c r="F262" s="387">
        <v>27017.96</v>
      </c>
      <c r="G262">
        <v>0.05</v>
      </c>
    </row>
    <row r="263" spans="1:7">
      <c r="A263">
        <v>255</v>
      </c>
      <c r="B263">
        <v>226</v>
      </c>
      <c r="C263" t="s">
        <v>406</v>
      </c>
      <c r="D263" s="387">
        <v>2747100089.4000001</v>
      </c>
      <c r="E263" s="387">
        <v>1155663717.4200001</v>
      </c>
      <c r="F263" s="387">
        <v>1096788143.1700001</v>
      </c>
      <c r="G263" s="387">
        <v>2805975663.6500001</v>
      </c>
    </row>
    <row r="264" spans="1:7">
      <c r="A264">
        <v>256</v>
      </c>
      <c r="B264">
        <v>22600</v>
      </c>
      <c r="C264" t="s">
        <v>407</v>
      </c>
      <c r="D264">
        <v>0</v>
      </c>
      <c r="E264" s="387">
        <v>3836073.12</v>
      </c>
      <c r="F264" s="387">
        <v>3836073.12</v>
      </c>
      <c r="G264">
        <v>0</v>
      </c>
    </row>
    <row r="265" spans="1:7">
      <c r="A265">
        <v>257</v>
      </c>
      <c r="B265">
        <v>22620</v>
      </c>
      <c r="C265" t="s">
        <v>408</v>
      </c>
      <c r="D265" s="387">
        <v>2309945150.9899998</v>
      </c>
      <c r="E265" s="387">
        <v>104064910.37</v>
      </c>
      <c r="F265" s="387">
        <v>125169658.7</v>
      </c>
      <c r="G265" s="387">
        <v>2288840402.6599998</v>
      </c>
    </row>
    <row r="266" spans="1:7">
      <c r="A266">
        <v>258</v>
      </c>
      <c r="B266">
        <v>22640</v>
      </c>
      <c r="C266" t="s">
        <v>409</v>
      </c>
      <c r="D266" s="387">
        <v>285625733.31999999</v>
      </c>
      <c r="E266" s="387">
        <v>396304193.91000003</v>
      </c>
      <c r="F266" s="387">
        <v>351533284.16000003</v>
      </c>
      <c r="G266" s="387">
        <v>330396643.06999999</v>
      </c>
    </row>
    <row r="267" spans="1:7">
      <c r="A267">
        <v>259</v>
      </c>
      <c r="B267">
        <v>22650</v>
      </c>
      <c r="C267" t="s">
        <v>410</v>
      </c>
      <c r="D267" s="387">
        <v>102613206.89</v>
      </c>
      <c r="E267" s="387">
        <v>453192415.94999999</v>
      </c>
      <c r="F267" s="387">
        <v>442431771.94999999</v>
      </c>
      <c r="G267" s="387">
        <v>113373850.89</v>
      </c>
    </row>
    <row r="268" spans="1:7">
      <c r="A268">
        <v>260</v>
      </c>
      <c r="B268">
        <v>22655</v>
      </c>
      <c r="C268" t="s">
        <v>411</v>
      </c>
      <c r="D268" s="387">
        <v>17369043.129999999</v>
      </c>
      <c r="E268" s="387">
        <v>18880509.620000001</v>
      </c>
      <c r="F268" s="387">
        <v>17369043.129999999</v>
      </c>
      <c r="G268" s="387">
        <v>18880509.620000001</v>
      </c>
    </row>
    <row r="269" spans="1:7">
      <c r="A269">
        <v>261</v>
      </c>
      <c r="B269">
        <v>22680</v>
      </c>
      <c r="C269" t="s">
        <v>412</v>
      </c>
      <c r="D269" s="387">
        <v>31546955.07</v>
      </c>
      <c r="E269" s="387">
        <v>179385614.44999999</v>
      </c>
      <c r="F269" s="387">
        <v>156448312.11000001</v>
      </c>
      <c r="G269" s="387">
        <v>54484257.409999996</v>
      </c>
    </row>
    <row r="270" spans="1:7">
      <c r="A270">
        <v>262</v>
      </c>
      <c r="B270">
        <v>227</v>
      </c>
      <c r="C270" t="s">
        <v>413</v>
      </c>
      <c r="D270" s="387">
        <v>456194818.08999997</v>
      </c>
      <c r="E270" s="387">
        <v>4214990256.0700002</v>
      </c>
      <c r="F270" s="387">
        <v>4283902758.1300001</v>
      </c>
      <c r="G270" s="387">
        <v>387282316.02999997</v>
      </c>
    </row>
    <row r="271" spans="1:7">
      <c r="A271">
        <v>263</v>
      </c>
      <c r="B271">
        <v>22710</v>
      </c>
      <c r="C271" t="s">
        <v>414</v>
      </c>
      <c r="D271">
        <v>0</v>
      </c>
      <c r="E271" s="387">
        <v>4664348.4800000004</v>
      </c>
      <c r="F271" s="387">
        <v>4664348.4800000004</v>
      </c>
      <c r="G271">
        <v>0</v>
      </c>
    </row>
    <row r="272" spans="1:7">
      <c r="A272">
        <v>264</v>
      </c>
      <c r="B272">
        <v>22715</v>
      </c>
      <c r="C272" t="s">
        <v>415</v>
      </c>
      <c r="D272" s="387">
        <v>116472596.55</v>
      </c>
      <c r="E272" s="387">
        <v>330608732.87</v>
      </c>
      <c r="F272" s="387">
        <v>333115524.05000001</v>
      </c>
      <c r="G272" s="387">
        <v>113965805.37</v>
      </c>
    </row>
    <row r="273" spans="1:7">
      <c r="A273">
        <v>265</v>
      </c>
      <c r="B273">
        <v>22721</v>
      </c>
      <c r="C273" t="s">
        <v>416</v>
      </c>
      <c r="D273" s="387">
        <v>-644996.78</v>
      </c>
      <c r="E273" s="387">
        <v>644996.78</v>
      </c>
      <c r="F273">
        <v>0</v>
      </c>
      <c r="G273">
        <v>0</v>
      </c>
    </row>
    <row r="274" spans="1:7">
      <c r="A274">
        <v>266</v>
      </c>
      <c r="B274">
        <v>22722</v>
      </c>
      <c r="C274" t="s">
        <v>417</v>
      </c>
      <c r="D274" s="387">
        <v>191218796.88999999</v>
      </c>
      <c r="E274" s="387">
        <v>920149377.11000001</v>
      </c>
      <c r="F274" s="387">
        <v>980262897.37</v>
      </c>
      <c r="G274" s="387">
        <v>131105276.63</v>
      </c>
    </row>
    <row r="275" spans="1:7">
      <c r="A275">
        <v>267</v>
      </c>
      <c r="B275">
        <v>22724</v>
      </c>
      <c r="C275" t="s">
        <v>418</v>
      </c>
      <c r="D275" s="387">
        <v>104783473.65000001</v>
      </c>
      <c r="E275" s="387">
        <v>451127531.47000003</v>
      </c>
      <c r="F275" s="387">
        <v>433407643.22000003</v>
      </c>
      <c r="G275" s="387">
        <v>122503361.90000001</v>
      </c>
    </row>
    <row r="276" spans="1:7">
      <c r="A276">
        <v>268</v>
      </c>
      <c r="B276">
        <v>22731</v>
      </c>
      <c r="C276" t="s">
        <v>419</v>
      </c>
      <c r="D276">
        <v>0</v>
      </c>
      <c r="E276" s="387">
        <v>392296965.81</v>
      </c>
      <c r="F276" s="387">
        <v>392296965.81</v>
      </c>
      <c r="G276">
        <v>0</v>
      </c>
    </row>
    <row r="277" spans="1:7">
      <c r="A277">
        <v>269</v>
      </c>
      <c r="B277">
        <v>22735</v>
      </c>
      <c r="C277" t="s">
        <v>420</v>
      </c>
      <c r="D277" s="387">
        <v>469679.2</v>
      </c>
      <c r="E277" s="387">
        <v>2030550.12</v>
      </c>
      <c r="F277" s="387">
        <v>1504787.06</v>
      </c>
      <c r="G277" s="387">
        <v>995442.26</v>
      </c>
    </row>
    <row r="278" spans="1:7">
      <c r="A278">
        <v>270</v>
      </c>
      <c r="B278">
        <v>22760</v>
      </c>
      <c r="C278" t="s">
        <v>421</v>
      </c>
      <c r="D278" s="387">
        <v>43895268.579999998</v>
      </c>
      <c r="E278" s="387">
        <v>86447334.569999993</v>
      </c>
      <c r="F278" s="387">
        <v>111630173.28</v>
      </c>
      <c r="G278" s="387">
        <v>18712429.870000001</v>
      </c>
    </row>
    <row r="279" spans="1:7">
      <c r="A279">
        <v>271</v>
      </c>
      <c r="B279">
        <v>22773</v>
      </c>
      <c r="C279" t="s">
        <v>422</v>
      </c>
      <c r="D279">
        <v>0</v>
      </c>
      <c r="E279" s="387">
        <v>1062839633.79</v>
      </c>
      <c r="F279" s="387">
        <v>1062839633.79</v>
      </c>
      <c r="G279">
        <v>0</v>
      </c>
    </row>
    <row r="280" spans="1:7">
      <c r="A280">
        <v>272</v>
      </c>
      <c r="B280">
        <v>22777</v>
      </c>
      <c r="C280" t="s">
        <v>423</v>
      </c>
      <c r="D280">
        <v>0</v>
      </c>
      <c r="E280" s="387">
        <v>964180785.07000005</v>
      </c>
      <c r="F280" s="387">
        <v>964180785.07000005</v>
      </c>
      <c r="G280">
        <v>0</v>
      </c>
    </row>
    <row r="281" spans="1:7">
      <c r="A281">
        <v>273</v>
      </c>
      <c r="B281">
        <v>228</v>
      </c>
      <c r="C281" t="s">
        <v>424</v>
      </c>
      <c r="D281" s="387">
        <v>1081658</v>
      </c>
      <c r="E281">
        <v>0</v>
      </c>
      <c r="F281">
        <v>0</v>
      </c>
      <c r="G281" s="387">
        <v>1081658</v>
      </c>
    </row>
    <row r="282" spans="1:7">
      <c r="A282">
        <v>274</v>
      </c>
      <c r="B282">
        <v>22810</v>
      </c>
      <c r="C282" t="s">
        <v>425</v>
      </c>
      <c r="D282" s="387">
        <v>-3946970.02</v>
      </c>
      <c r="E282">
        <v>0</v>
      </c>
      <c r="F282">
        <v>0</v>
      </c>
      <c r="G282" s="387">
        <v>-3946970.02</v>
      </c>
    </row>
    <row r="283" spans="1:7">
      <c r="A283">
        <v>275</v>
      </c>
      <c r="B283">
        <v>22811</v>
      </c>
      <c r="C283" t="s">
        <v>426</v>
      </c>
      <c r="D283" s="387">
        <v>3946970.02</v>
      </c>
      <c r="E283">
        <v>0</v>
      </c>
      <c r="F283">
        <v>0</v>
      </c>
      <c r="G283" s="387">
        <v>3946970.02</v>
      </c>
    </row>
    <row r="284" spans="1:7">
      <c r="A284">
        <v>276</v>
      </c>
      <c r="B284">
        <v>22830</v>
      </c>
      <c r="C284" t="s">
        <v>427</v>
      </c>
      <c r="D284" s="387">
        <v>10230984.92</v>
      </c>
      <c r="E284">
        <v>0</v>
      </c>
      <c r="F284">
        <v>0</v>
      </c>
      <c r="G284" s="387">
        <v>10230984.92</v>
      </c>
    </row>
    <row r="285" spans="1:7">
      <c r="A285">
        <v>277</v>
      </c>
      <c r="B285">
        <v>22832</v>
      </c>
      <c r="C285" t="s">
        <v>428</v>
      </c>
      <c r="D285" s="387">
        <v>1081658</v>
      </c>
      <c r="E285">
        <v>0</v>
      </c>
      <c r="F285">
        <v>0</v>
      </c>
      <c r="G285" s="387">
        <v>1081658</v>
      </c>
    </row>
    <row r="286" spans="1:7">
      <c r="A286">
        <v>278</v>
      </c>
      <c r="B286">
        <v>22833</v>
      </c>
      <c r="C286" t="s">
        <v>429</v>
      </c>
      <c r="D286" s="387">
        <v>-10230984.92</v>
      </c>
      <c r="E286">
        <v>0</v>
      </c>
      <c r="F286">
        <v>0</v>
      </c>
      <c r="G286" s="387">
        <v>-10230984.92</v>
      </c>
    </row>
    <row r="287" spans="1:7">
      <c r="A287">
        <v>279</v>
      </c>
      <c r="B287">
        <v>23</v>
      </c>
      <c r="C287" t="s">
        <v>430</v>
      </c>
      <c r="D287" s="387">
        <v>10133153140.9</v>
      </c>
      <c r="E287" s="387">
        <v>381968179528.14001</v>
      </c>
      <c r="F287" s="387">
        <v>383529784060.85999</v>
      </c>
      <c r="G287" s="387">
        <v>8571548608.1800003</v>
      </c>
    </row>
    <row r="288" spans="1:7">
      <c r="A288">
        <v>280</v>
      </c>
      <c r="B288">
        <v>231</v>
      </c>
      <c r="C288" t="s">
        <v>431</v>
      </c>
      <c r="D288" s="387">
        <v>-1421215211.6900001</v>
      </c>
      <c r="E288" s="387">
        <v>191826768767.19</v>
      </c>
      <c r="F288" s="387">
        <v>195610113985.39999</v>
      </c>
      <c r="G288" s="387">
        <v>-5204560429.8999996</v>
      </c>
    </row>
    <row r="289" spans="1:7">
      <c r="A289">
        <v>281</v>
      </c>
      <c r="B289">
        <v>23101</v>
      </c>
      <c r="C289" t="s">
        <v>432</v>
      </c>
      <c r="D289" s="387">
        <v>341464190.62</v>
      </c>
      <c r="E289" s="387">
        <v>24404275524.830002</v>
      </c>
      <c r="F289" s="387">
        <v>24894674050.689999</v>
      </c>
      <c r="G289" s="387">
        <v>-148934335.24000001</v>
      </c>
    </row>
    <row r="290" spans="1:7">
      <c r="A290">
        <v>282</v>
      </c>
      <c r="B290">
        <v>23102</v>
      </c>
      <c r="C290" t="s">
        <v>433</v>
      </c>
      <c r="D290" s="387">
        <v>-9062630.2400000002</v>
      </c>
      <c r="E290" s="387">
        <v>698505506.16999996</v>
      </c>
      <c r="F290" s="387">
        <v>718769601.16999996</v>
      </c>
      <c r="G290" s="387">
        <v>-29326725.239999998</v>
      </c>
    </row>
    <row r="291" spans="1:7">
      <c r="A291">
        <v>283</v>
      </c>
      <c r="B291">
        <v>23103</v>
      </c>
      <c r="C291" t="s">
        <v>434</v>
      </c>
      <c r="D291" s="387">
        <v>-1279911262.8599999</v>
      </c>
      <c r="E291" s="387">
        <v>37729453309.300003</v>
      </c>
      <c r="F291" s="387">
        <v>39633011425.190002</v>
      </c>
      <c r="G291" s="387">
        <v>-3183469378.75</v>
      </c>
    </row>
    <row r="292" spans="1:7">
      <c r="A292">
        <v>284</v>
      </c>
      <c r="B292">
        <v>23104</v>
      </c>
      <c r="C292" t="s">
        <v>435</v>
      </c>
      <c r="D292" s="387">
        <v>-640218460.35000002</v>
      </c>
      <c r="E292" s="387">
        <v>122508718098.66</v>
      </c>
      <c r="F292" s="387">
        <v>123843962576.63</v>
      </c>
      <c r="G292" s="387">
        <v>-1975462938.3199999</v>
      </c>
    </row>
    <row r="293" spans="1:7">
      <c r="A293">
        <v>285</v>
      </c>
      <c r="B293">
        <v>23105</v>
      </c>
      <c r="C293" t="s">
        <v>436</v>
      </c>
      <c r="D293" s="387">
        <v>-7143955.7000000002</v>
      </c>
      <c r="E293" s="387">
        <v>33523124.719999999</v>
      </c>
      <c r="F293" s="387">
        <v>26379169.02</v>
      </c>
      <c r="G293">
        <v>0</v>
      </c>
    </row>
    <row r="294" spans="1:7">
      <c r="A294">
        <v>286</v>
      </c>
      <c r="B294">
        <v>23106</v>
      </c>
      <c r="C294" t="s">
        <v>437</v>
      </c>
      <c r="D294" s="387">
        <v>-4244052.37</v>
      </c>
      <c r="E294" s="387">
        <v>58207952.359999999</v>
      </c>
      <c r="F294" s="387">
        <v>57885685.380000003</v>
      </c>
      <c r="G294" s="387">
        <v>-3921785.39</v>
      </c>
    </row>
    <row r="295" spans="1:7">
      <c r="A295">
        <v>287</v>
      </c>
      <c r="B295">
        <v>23107</v>
      </c>
      <c r="C295" t="s">
        <v>438</v>
      </c>
      <c r="D295" s="387">
        <v>35507357.869999997</v>
      </c>
      <c r="E295" s="387">
        <v>890039671.88</v>
      </c>
      <c r="F295" s="387">
        <v>903881863.63999999</v>
      </c>
      <c r="G295" s="387">
        <v>21665166.109999999</v>
      </c>
    </row>
    <row r="296" spans="1:7">
      <c r="A296">
        <v>288</v>
      </c>
      <c r="B296">
        <v>23108</v>
      </c>
      <c r="C296" t="s">
        <v>439</v>
      </c>
      <c r="D296" s="387">
        <v>131348311.67</v>
      </c>
      <c r="E296" s="387">
        <v>1840109421.4100001</v>
      </c>
      <c r="F296" s="387">
        <v>1838111422.9300001</v>
      </c>
      <c r="G296" s="387">
        <v>133346310.15000001</v>
      </c>
    </row>
    <row r="297" spans="1:7">
      <c r="A297">
        <v>289</v>
      </c>
      <c r="B297">
        <v>23131</v>
      </c>
      <c r="C297" t="s">
        <v>440</v>
      </c>
      <c r="D297" s="387">
        <v>27492790.48</v>
      </c>
      <c r="E297" s="387">
        <v>78521967.140000001</v>
      </c>
      <c r="F297" s="387">
        <v>75348176.650000006</v>
      </c>
      <c r="G297" s="387">
        <v>30666580.969999999</v>
      </c>
    </row>
    <row r="298" spans="1:7">
      <c r="A298">
        <v>290</v>
      </c>
      <c r="B298">
        <v>23136</v>
      </c>
      <c r="C298" t="s">
        <v>441</v>
      </c>
      <c r="D298" s="387">
        <v>-16447500.810000001</v>
      </c>
      <c r="E298" s="387">
        <v>1804281591.73</v>
      </c>
      <c r="F298" s="387">
        <v>1835915972.8</v>
      </c>
      <c r="G298" s="387">
        <v>-48081881.880000003</v>
      </c>
    </row>
    <row r="299" spans="1:7">
      <c r="A299">
        <v>291</v>
      </c>
      <c r="B299">
        <v>23138</v>
      </c>
      <c r="C299" t="s">
        <v>442</v>
      </c>
      <c r="D299">
        <v>0</v>
      </c>
      <c r="E299" s="387">
        <v>1781132598.99</v>
      </c>
      <c r="F299" s="387">
        <v>1782174041.3</v>
      </c>
      <c r="G299" s="387">
        <v>-1041442.31</v>
      </c>
    </row>
    <row r="300" spans="1:7">
      <c r="A300">
        <v>292</v>
      </c>
      <c r="B300">
        <v>233</v>
      </c>
      <c r="C300" t="s">
        <v>443</v>
      </c>
      <c r="D300" s="387">
        <v>13618.41</v>
      </c>
      <c r="E300" s="387">
        <v>171370287198.64999</v>
      </c>
      <c r="F300" s="387">
        <v>171370282974.25</v>
      </c>
      <c r="G300" s="387">
        <v>17842.810000000001</v>
      </c>
    </row>
    <row r="301" spans="1:7">
      <c r="A301">
        <v>293</v>
      </c>
      <c r="B301">
        <v>23301</v>
      </c>
      <c r="C301" t="s">
        <v>444</v>
      </c>
      <c r="D301">
        <v>0</v>
      </c>
      <c r="E301" s="387">
        <v>2956625545.1399999</v>
      </c>
      <c r="F301" s="387">
        <v>135320685959.74001</v>
      </c>
      <c r="G301" s="387">
        <v>-132364060414.60001</v>
      </c>
    </row>
    <row r="302" spans="1:7">
      <c r="A302">
        <v>294</v>
      </c>
      <c r="B302">
        <v>23302</v>
      </c>
      <c r="C302" t="s">
        <v>445</v>
      </c>
      <c r="D302">
        <v>0</v>
      </c>
      <c r="E302" s="387">
        <v>1041674026.1</v>
      </c>
      <c r="F302" s="387">
        <v>35452054526.900002</v>
      </c>
      <c r="G302" s="387">
        <v>-34410380500.800003</v>
      </c>
    </row>
    <row r="303" spans="1:7">
      <c r="A303">
        <v>295</v>
      </c>
      <c r="B303">
        <v>23303</v>
      </c>
      <c r="C303" t="s">
        <v>446</v>
      </c>
      <c r="D303">
        <v>0</v>
      </c>
      <c r="E303">
        <v>0</v>
      </c>
      <c r="F303" s="387">
        <v>3517</v>
      </c>
      <c r="G303" s="387">
        <v>-3517</v>
      </c>
    </row>
    <row r="304" spans="1:7">
      <c r="A304">
        <v>296</v>
      </c>
      <c r="B304">
        <v>23351</v>
      </c>
      <c r="C304" t="s">
        <v>447</v>
      </c>
      <c r="D304">
        <v>0</v>
      </c>
      <c r="E304" s="387">
        <v>132402050103.59</v>
      </c>
      <c r="F304" s="387">
        <v>37989688.990000002</v>
      </c>
      <c r="G304" s="387">
        <v>132364060414.60001</v>
      </c>
    </row>
    <row r="305" spans="1:7">
      <c r="A305">
        <v>297</v>
      </c>
      <c r="B305">
        <v>23352</v>
      </c>
      <c r="C305" t="s">
        <v>448</v>
      </c>
      <c r="D305">
        <v>0</v>
      </c>
      <c r="E305" s="387">
        <v>34847127268.18</v>
      </c>
      <c r="F305" s="387">
        <v>436746767.38</v>
      </c>
      <c r="G305" s="387">
        <v>34410380500.800003</v>
      </c>
    </row>
    <row r="306" spans="1:7">
      <c r="A306">
        <v>298</v>
      </c>
      <c r="B306">
        <v>23353</v>
      </c>
      <c r="C306" t="s">
        <v>449</v>
      </c>
      <c r="D306">
        <v>0</v>
      </c>
      <c r="E306" s="387">
        <v>125219.11</v>
      </c>
      <c r="F306" s="387">
        <v>121702.11</v>
      </c>
      <c r="G306" s="387">
        <v>3517</v>
      </c>
    </row>
    <row r="307" spans="1:7">
      <c r="A307">
        <v>299</v>
      </c>
      <c r="B307">
        <v>23390</v>
      </c>
      <c r="C307" t="s">
        <v>450</v>
      </c>
      <c r="D307" s="387">
        <v>13618.41</v>
      </c>
      <c r="E307" s="387">
        <v>122685036.53</v>
      </c>
      <c r="F307" s="387">
        <v>122680812.13</v>
      </c>
      <c r="G307" s="387">
        <v>17842.810000000001</v>
      </c>
    </row>
    <row r="308" spans="1:7">
      <c r="A308">
        <v>300</v>
      </c>
      <c r="B308">
        <v>234</v>
      </c>
      <c r="C308" t="s">
        <v>451</v>
      </c>
      <c r="D308" s="387">
        <v>12037536703.5</v>
      </c>
      <c r="E308" s="387">
        <v>14320917728.98</v>
      </c>
      <c r="F308" s="387">
        <v>12113343984.719999</v>
      </c>
      <c r="G308" s="387">
        <v>14245110447.76</v>
      </c>
    </row>
    <row r="309" spans="1:7">
      <c r="A309">
        <v>301</v>
      </c>
      <c r="B309">
        <v>23401</v>
      </c>
      <c r="C309" t="s">
        <v>452</v>
      </c>
      <c r="D309" s="387">
        <v>2244564542.5999999</v>
      </c>
      <c r="E309" s="387">
        <v>2220061127.1999998</v>
      </c>
      <c r="F309" s="387">
        <v>2244564542.6100001</v>
      </c>
      <c r="G309" s="387">
        <v>2220061127.1900001</v>
      </c>
    </row>
    <row r="310" spans="1:7">
      <c r="A310">
        <v>302</v>
      </c>
      <c r="B310">
        <v>23402</v>
      </c>
      <c r="C310" t="s">
        <v>453</v>
      </c>
      <c r="D310" s="387">
        <v>43749001.409999996</v>
      </c>
      <c r="E310" s="387">
        <v>62986341.380000003</v>
      </c>
      <c r="F310" s="387">
        <v>43749001.409999996</v>
      </c>
      <c r="G310" s="387">
        <v>62986341.380000003</v>
      </c>
    </row>
    <row r="311" spans="1:7">
      <c r="A311">
        <v>303</v>
      </c>
      <c r="B311">
        <v>23403</v>
      </c>
      <c r="C311" t="s">
        <v>454</v>
      </c>
      <c r="D311" s="387">
        <v>3884200520.0599999</v>
      </c>
      <c r="E311" s="387">
        <v>4129309122.3200002</v>
      </c>
      <c r="F311" s="387">
        <v>3884200520.0599999</v>
      </c>
      <c r="G311" s="387">
        <v>4129309122.3200002</v>
      </c>
    </row>
    <row r="312" spans="1:7">
      <c r="A312">
        <v>304</v>
      </c>
      <c r="B312">
        <v>23404</v>
      </c>
      <c r="C312" t="s">
        <v>455</v>
      </c>
      <c r="D312" s="387">
        <v>5526785763.4399996</v>
      </c>
      <c r="E312" s="387">
        <v>7615602535.1599998</v>
      </c>
      <c r="F312" s="387">
        <v>5602518597.8299999</v>
      </c>
      <c r="G312" s="387">
        <v>7539869700.7700005</v>
      </c>
    </row>
    <row r="313" spans="1:7">
      <c r="A313">
        <v>305</v>
      </c>
      <c r="B313">
        <v>23405</v>
      </c>
      <c r="C313" t="s">
        <v>456</v>
      </c>
      <c r="D313" s="387">
        <v>33207117.579999998</v>
      </c>
      <c r="E313">
        <v>0</v>
      </c>
      <c r="F313" s="387">
        <v>33207117.579999998</v>
      </c>
      <c r="G313">
        <v>0</v>
      </c>
    </row>
    <row r="314" spans="1:7">
      <c r="A314">
        <v>306</v>
      </c>
      <c r="B314">
        <v>23406</v>
      </c>
      <c r="C314" t="s">
        <v>457</v>
      </c>
      <c r="D314" s="387">
        <v>4747696.87</v>
      </c>
      <c r="E314">
        <v>0</v>
      </c>
      <c r="F314" s="387">
        <v>4747696.87</v>
      </c>
      <c r="G314">
        <v>0</v>
      </c>
    </row>
    <row r="315" spans="1:7">
      <c r="A315">
        <v>307</v>
      </c>
      <c r="B315">
        <v>23407</v>
      </c>
      <c r="C315" t="s">
        <v>458</v>
      </c>
      <c r="D315" s="387">
        <v>108810972.54000001</v>
      </c>
      <c r="E315" s="387">
        <v>119295640.75</v>
      </c>
      <c r="F315" s="387">
        <v>108810972.55</v>
      </c>
      <c r="G315" s="387">
        <v>119295640.73999999</v>
      </c>
    </row>
    <row r="316" spans="1:7">
      <c r="A316">
        <v>308</v>
      </c>
      <c r="B316">
        <v>23408</v>
      </c>
      <c r="C316" t="s">
        <v>459</v>
      </c>
      <c r="D316" s="387">
        <v>175847028.75</v>
      </c>
      <c r="E316" s="387">
        <v>154705324.68000001</v>
      </c>
      <c r="F316" s="387">
        <v>175847028.75</v>
      </c>
      <c r="G316" s="387">
        <v>154705324.68000001</v>
      </c>
    </row>
    <row r="317" spans="1:7">
      <c r="A317">
        <v>309</v>
      </c>
      <c r="B317">
        <v>23420</v>
      </c>
      <c r="C317" t="s">
        <v>460</v>
      </c>
      <c r="D317" s="387">
        <v>15624060.25</v>
      </c>
      <c r="E317" s="387">
        <v>18957637.489999998</v>
      </c>
      <c r="F317" s="387">
        <v>15698507.060000001</v>
      </c>
      <c r="G317" s="387">
        <v>18883190.68</v>
      </c>
    </row>
    <row r="318" spans="1:7">
      <c r="A318">
        <v>310</v>
      </c>
      <c r="B318">
        <v>235</v>
      </c>
      <c r="C318" t="s">
        <v>461</v>
      </c>
      <c r="D318" s="387">
        <v>3356547728.8400002</v>
      </c>
      <c r="E318" s="387">
        <v>3704215935.25</v>
      </c>
      <c r="F318" s="387">
        <v>3380939166.8400002</v>
      </c>
      <c r="G318" s="387">
        <v>3679824497.25</v>
      </c>
    </row>
    <row r="319" spans="1:7">
      <c r="A319">
        <v>311</v>
      </c>
      <c r="B319">
        <v>23500</v>
      </c>
      <c r="C319" t="s">
        <v>461</v>
      </c>
      <c r="D319" s="387">
        <v>3356547728.8400002</v>
      </c>
      <c r="E319" s="387">
        <v>3704215935.25</v>
      </c>
      <c r="F319" s="387">
        <v>3380939166.8400002</v>
      </c>
      <c r="G319" s="387">
        <v>3679824497.25</v>
      </c>
    </row>
    <row r="320" spans="1:7">
      <c r="A320">
        <v>312</v>
      </c>
      <c r="B320">
        <v>237</v>
      </c>
      <c r="C320" t="s">
        <v>462</v>
      </c>
      <c r="D320" s="387">
        <v>339790654.00999999</v>
      </c>
      <c r="E320" s="387">
        <v>199789898.06999999</v>
      </c>
      <c r="F320" s="387">
        <v>172103949.65000001</v>
      </c>
      <c r="G320" s="387">
        <v>367476602.43000001</v>
      </c>
    </row>
    <row r="321" spans="1:7">
      <c r="A321">
        <v>313</v>
      </c>
      <c r="B321">
        <v>23700</v>
      </c>
      <c r="C321" t="s">
        <v>463</v>
      </c>
      <c r="D321" s="387">
        <v>4089123.04</v>
      </c>
      <c r="E321" s="387">
        <v>35788376.420000002</v>
      </c>
      <c r="F321" s="387">
        <v>31283811.260000002</v>
      </c>
      <c r="G321" s="387">
        <v>8593688.1999999993</v>
      </c>
    </row>
    <row r="322" spans="1:7">
      <c r="A322">
        <v>314</v>
      </c>
      <c r="B322">
        <v>23710</v>
      </c>
      <c r="C322" t="s">
        <v>464</v>
      </c>
      <c r="D322" s="387">
        <v>5397902.7999999998</v>
      </c>
      <c r="E322" s="387">
        <v>61100888.490000002</v>
      </c>
      <c r="F322" s="387">
        <v>64113349.340000004</v>
      </c>
      <c r="G322" s="387">
        <v>2385441.9500000002</v>
      </c>
    </row>
    <row r="323" spans="1:7">
      <c r="A323">
        <v>315</v>
      </c>
      <c r="B323">
        <v>23718</v>
      </c>
      <c r="C323" t="s">
        <v>465</v>
      </c>
      <c r="D323" s="387">
        <v>-6408635.4500000002</v>
      </c>
      <c r="E323" s="387">
        <v>7973535</v>
      </c>
      <c r="F323" s="387">
        <v>8035635.46</v>
      </c>
      <c r="G323" s="387">
        <v>-6470735.9100000001</v>
      </c>
    </row>
    <row r="324" spans="1:7">
      <c r="A324">
        <v>316</v>
      </c>
      <c r="B324">
        <v>23719</v>
      </c>
      <c r="C324" t="s">
        <v>466</v>
      </c>
      <c r="D324" s="387">
        <v>2737036.01</v>
      </c>
      <c r="E324" s="387">
        <v>5402095.8899999997</v>
      </c>
      <c r="F324" s="387">
        <v>6507217.8399999999</v>
      </c>
      <c r="G324" s="387">
        <v>1631914.06</v>
      </c>
    </row>
    <row r="325" spans="1:7">
      <c r="A325">
        <v>317</v>
      </c>
      <c r="B325">
        <v>23720</v>
      </c>
      <c r="C325" t="s">
        <v>467</v>
      </c>
      <c r="D325" s="387">
        <v>333975227.61000001</v>
      </c>
      <c r="E325" s="387">
        <v>89525002.269999996</v>
      </c>
      <c r="F325" s="387">
        <v>62163935.75</v>
      </c>
      <c r="G325" s="387">
        <v>361336294.13</v>
      </c>
    </row>
    <row r="326" spans="1:7">
      <c r="A326">
        <v>318</v>
      </c>
      <c r="B326">
        <v>239</v>
      </c>
      <c r="C326" t="s">
        <v>468</v>
      </c>
      <c r="D326" s="387">
        <v>-4179520352.1700001</v>
      </c>
      <c r="E326" s="387">
        <v>546200000</v>
      </c>
      <c r="F326" s="387">
        <v>883000000</v>
      </c>
      <c r="G326" s="387">
        <v>-4516320352.1700001</v>
      </c>
    </row>
    <row r="327" spans="1:7">
      <c r="A327">
        <v>319</v>
      </c>
      <c r="B327">
        <v>23900</v>
      </c>
      <c r="C327" t="s">
        <v>468</v>
      </c>
      <c r="D327" s="387">
        <v>-2528664275.0599999</v>
      </c>
      <c r="E327">
        <v>0</v>
      </c>
      <c r="F327">
        <v>0</v>
      </c>
      <c r="G327" s="387">
        <v>-2528664275.0599999</v>
      </c>
    </row>
    <row r="328" spans="1:7">
      <c r="A328">
        <v>320</v>
      </c>
      <c r="B328">
        <v>23950</v>
      </c>
      <c r="C328" t="s">
        <v>469</v>
      </c>
      <c r="D328" s="387">
        <v>-1650856077.1099999</v>
      </c>
      <c r="E328" s="387">
        <v>546200000</v>
      </c>
      <c r="F328" s="387">
        <v>883000000</v>
      </c>
      <c r="G328" s="387">
        <v>-1987656077.1099999</v>
      </c>
    </row>
    <row r="329" spans="1:7">
      <c r="A329">
        <v>321</v>
      </c>
      <c r="B329">
        <v>24</v>
      </c>
      <c r="C329" t="s">
        <v>470</v>
      </c>
      <c r="D329" s="387">
        <v>758969696.13</v>
      </c>
      <c r="E329" s="387">
        <v>504101351254.02002</v>
      </c>
      <c r="F329" s="387">
        <v>502395013596.14001</v>
      </c>
      <c r="G329" s="387">
        <v>2465307354.0100002</v>
      </c>
    </row>
    <row r="330" spans="1:7">
      <c r="A330">
        <v>322</v>
      </c>
      <c r="B330">
        <v>241</v>
      </c>
      <c r="C330" t="s">
        <v>471</v>
      </c>
      <c r="D330" s="387">
        <v>52131186.880000003</v>
      </c>
      <c r="E330" s="387">
        <v>33969947771.619999</v>
      </c>
      <c r="F330" s="387">
        <v>33816066552.279999</v>
      </c>
      <c r="G330" s="387">
        <v>206012406.22</v>
      </c>
    </row>
    <row r="331" spans="1:7">
      <c r="A331">
        <v>323</v>
      </c>
      <c r="B331">
        <v>24110</v>
      </c>
      <c r="C331" t="s">
        <v>472</v>
      </c>
      <c r="D331" s="387">
        <v>86086.93</v>
      </c>
      <c r="E331" s="387">
        <v>12111999.939999999</v>
      </c>
      <c r="F331" s="387">
        <v>12028155.92</v>
      </c>
      <c r="G331" s="387">
        <v>169930.95</v>
      </c>
    </row>
    <row r="332" spans="1:7">
      <c r="A332">
        <v>324</v>
      </c>
      <c r="B332">
        <v>24111</v>
      </c>
      <c r="C332" t="s">
        <v>473</v>
      </c>
      <c r="D332" s="387">
        <v>49466469.950000003</v>
      </c>
      <c r="E332" s="387">
        <v>33949122690.68</v>
      </c>
      <c r="F332" s="387">
        <v>33795007804.360001</v>
      </c>
      <c r="G332" s="387">
        <v>203581356.27000001</v>
      </c>
    </row>
    <row r="333" spans="1:7">
      <c r="A333">
        <v>325</v>
      </c>
      <c r="B333">
        <v>24120</v>
      </c>
      <c r="C333" t="s">
        <v>474</v>
      </c>
      <c r="D333" s="387">
        <v>1284301</v>
      </c>
      <c r="E333" s="387">
        <v>1929030</v>
      </c>
      <c r="F333" s="387">
        <v>1896512</v>
      </c>
      <c r="G333" s="387">
        <v>1316819</v>
      </c>
    </row>
    <row r="334" spans="1:7">
      <c r="A334">
        <v>326</v>
      </c>
      <c r="B334">
        <v>24150</v>
      </c>
      <c r="C334" t="s">
        <v>475</v>
      </c>
      <c r="D334" s="387">
        <v>1294329</v>
      </c>
      <c r="E334" s="387">
        <v>6784051</v>
      </c>
      <c r="F334" s="387">
        <v>7134080</v>
      </c>
      <c r="G334" s="387">
        <v>944300</v>
      </c>
    </row>
    <row r="335" spans="1:7">
      <c r="A335">
        <v>327</v>
      </c>
      <c r="B335">
        <v>242</v>
      </c>
      <c r="C335" t="s">
        <v>476</v>
      </c>
      <c r="D335">
        <v>0</v>
      </c>
      <c r="E335" s="387">
        <v>17565517.949999999</v>
      </c>
      <c r="F335" s="387">
        <v>17565517.949999999</v>
      </c>
      <c r="G335">
        <v>0</v>
      </c>
    </row>
    <row r="336" spans="1:7">
      <c r="A336">
        <v>328</v>
      </c>
      <c r="B336">
        <v>24210</v>
      </c>
      <c r="C336" t="s">
        <v>477</v>
      </c>
      <c r="D336">
        <v>0</v>
      </c>
      <c r="E336" s="387">
        <v>8177631.9500000002</v>
      </c>
      <c r="F336" s="387">
        <v>8177631.9500000002</v>
      </c>
      <c r="G336">
        <v>0</v>
      </c>
    </row>
    <row r="337" spans="1:7">
      <c r="A337">
        <v>329</v>
      </c>
      <c r="B337">
        <v>24220</v>
      </c>
      <c r="C337" t="s">
        <v>478</v>
      </c>
      <c r="D337">
        <v>0</v>
      </c>
      <c r="E337" s="387">
        <v>9387886</v>
      </c>
      <c r="F337" s="387">
        <v>9387886</v>
      </c>
      <c r="G337">
        <v>0</v>
      </c>
    </row>
    <row r="338" spans="1:7">
      <c r="A338">
        <v>330</v>
      </c>
      <c r="B338">
        <v>243</v>
      </c>
      <c r="C338" t="s">
        <v>479</v>
      </c>
      <c r="D338" s="387">
        <v>665824416.29999995</v>
      </c>
      <c r="E338" s="387">
        <v>115571055284.86</v>
      </c>
      <c r="F338" s="387">
        <v>114169871350.49001</v>
      </c>
      <c r="G338" s="387">
        <v>2067008350.6700001</v>
      </c>
    </row>
    <row r="339" spans="1:7">
      <c r="A339">
        <v>331</v>
      </c>
      <c r="B339">
        <v>24301</v>
      </c>
      <c r="C339" t="s">
        <v>480</v>
      </c>
      <c r="D339" s="387">
        <v>270001019.57999998</v>
      </c>
      <c r="E339" s="387">
        <v>29743618047.080002</v>
      </c>
      <c r="F339" s="387">
        <v>29406930172.549999</v>
      </c>
      <c r="G339" s="387">
        <v>606688894.11000001</v>
      </c>
    </row>
    <row r="340" spans="1:7">
      <c r="A340">
        <v>332</v>
      </c>
      <c r="B340">
        <v>24302</v>
      </c>
      <c r="C340" t="s">
        <v>481</v>
      </c>
      <c r="D340" s="387">
        <v>72992034.530000001</v>
      </c>
      <c r="E340" s="387">
        <v>10352288591.629999</v>
      </c>
      <c r="F340" s="387">
        <v>10389177846.969999</v>
      </c>
      <c r="G340" s="387">
        <v>36102779.189999998</v>
      </c>
    </row>
    <row r="341" spans="1:7">
      <c r="A341">
        <v>333</v>
      </c>
      <c r="B341">
        <v>24303</v>
      </c>
      <c r="C341" t="s">
        <v>482</v>
      </c>
      <c r="D341" s="387">
        <v>1599539.68</v>
      </c>
      <c r="E341" s="387">
        <v>1043990529.28</v>
      </c>
      <c r="F341" s="387">
        <v>1043497526.16</v>
      </c>
      <c r="G341" s="387">
        <v>2092542.8</v>
      </c>
    </row>
    <row r="342" spans="1:7">
      <c r="A342">
        <v>334</v>
      </c>
      <c r="B342">
        <v>24305</v>
      </c>
      <c r="C342" t="s">
        <v>483</v>
      </c>
      <c r="D342" s="387">
        <v>104467082.34</v>
      </c>
      <c r="E342" s="387">
        <v>3546609779.54</v>
      </c>
      <c r="F342" s="387">
        <v>3639023988.0799999</v>
      </c>
      <c r="G342" s="387">
        <v>12052873.800000001</v>
      </c>
    </row>
    <row r="343" spans="1:7">
      <c r="A343">
        <v>335</v>
      </c>
      <c r="B343">
        <v>24309</v>
      </c>
      <c r="C343" t="s">
        <v>484</v>
      </c>
      <c r="D343" s="387">
        <v>7110092.3899999997</v>
      </c>
      <c r="E343" s="387">
        <v>3029711642.8000002</v>
      </c>
      <c r="F343" s="387">
        <v>3019490304.8299999</v>
      </c>
      <c r="G343" s="387">
        <v>17331430.359999999</v>
      </c>
    </row>
    <row r="344" spans="1:7">
      <c r="A344">
        <v>336</v>
      </c>
      <c r="B344">
        <v>24310</v>
      </c>
      <c r="C344" t="s">
        <v>485</v>
      </c>
      <c r="D344" s="387">
        <v>2105608</v>
      </c>
      <c r="E344">
        <v>0</v>
      </c>
      <c r="F344">
        <v>0</v>
      </c>
      <c r="G344" s="387">
        <v>2105608</v>
      </c>
    </row>
    <row r="345" spans="1:7">
      <c r="A345">
        <v>337</v>
      </c>
      <c r="B345">
        <v>24311</v>
      </c>
      <c r="C345" t="s">
        <v>486</v>
      </c>
      <c r="D345">
        <v>0</v>
      </c>
      <c r="E345" s="387">
        <v>11028</v>
      </c>
      <c r="F345" s="387">
        <v>11028</v>
      </c>
      <c r="G345">
        <v>0</v>
      </c>
    </row>
    <row r="346" spans="1:7">
      <c r="A346">
        <v>338</v>
      </c>
      <c r="B346">
        <v>24315</v>
      </c>
      <c r="C346" t="s">
        <v>487</v>
      </c>
      <c r="D346" s="387">
        <v>10000</v>
      </c>
      <c r="E346">
        <v>0</v>
      </c>
      <c r="F346">
        <v>0</v>
      </c>
      <c r="G346" s="387">
        <v>10000</v>
      </c>
    </row>
    <row r="347" spans="1:7">
      <c r="A347">
        <v>339</v>
      </c>
      <c r="B347">
        <v>24318</v>
      </c>
      <c r="C347" t="s">
        <v>488</v>
      </c>
      <c r="D347" s="387">
        <v>10000</v>
      </c>
      <c r="E347" s="387">
        <v>568307397.95000005</v>
      </c>
      <c r="F347" s="387">
        <v>568307397.95000005</v>
      </c>
      <c r="G347" s="387">
        <v>10000</v>
      </c>
    </row>
    <row r="348" spans="1:7">
      <c r="A348">
        <v>340</v>
      </c>
      <c r="B348">
        <v>24320</v>
      </c>
      <c r="C348" t="s">
        <v>489</v>
      </c>
      <c r="D348" s="387">
        <v>8368834.7000000002</v>
      </c>
      <c r="E348" s="387">
        <v>15166232.98</v>
      </c>
      <c r="F348" s="387">
        <v>23527264.98</v>
      </c>
      <c r="G348" s="387">
        <v>7802.7</v>
      </c>
    </row>
    <row r="349" spans="1:7">
      <c r="A349">
        <v>341</v>
      </c>
      <c r="B349">
        <v>24321</v>
      </c>
      <c r="C349" t="s">
        <v>490</v>
      </c>
      <c r="D349" s="387">
        <v>114468543.25</v>
      </c>
      <c r="E349" s="387">
        <v>23225451718.16</v>
      </c>
      <c r="F349" s="387">
        <v>22808221216.049999</v>
      </c>
      <c r="G349" s="387">
        <v>531699045.36000001</v>
      </c>
    </row>
    <row r="350" spans="1:7">
      <c r="A350">
        <v>342</v>
      </c>
      <c r="B350">
        <v>24322</v>
      </c>
      <c r="C350" t="s">
        <v>491</v>
      </c>
      <c r="D350" s="387">
        <v>84691661.829999998</v>
      </c>
      <c r="E350" s="387">
        <v>44045900317.440002</v>
      </c>
      <c r="F350" s="387">
        <v>43271684604.919998</v>
      </c>
      <c r="G350" s="387">
        <v>858907374.35000002</v>
      </c>
    </row>
    <row r="351" spans="1:7">
      <c r="A351">
        <v>343</v>
      </c>
      <c r="B351">
        <v>244</v>
      </c>
      <c r="C351" t="s">
        <v>492</v>
      </c>
      <c r="D351" s="387">
        <v>6066346.2800000003</v>
      </c>
      <c r="E351" s="387">
        <v>85807370725</v>
      </c>
      <c r="F351" s="387">
        <v>85768080779.520004</v>
      </c>
      <c r="G351" s="387">
        <v>45356291.759999998</v>
      </c>
    </row>
    <row r="352" spans="1:7">
      <c r="A352">
        <v>344</v>
      </c>
      <c r="B352">
        <v>24401</v>
      </c>
      <c r="C352" t="s">
        <v>493</v>
      </c>
      <c r="D352" s="387">
        <v>421423.42</v>
      </c>
      <c r="E352" s="387">
        <v>3860892172.1500001</v>
      </c>
      <c r="F352" s="387">
        <v>3861017554.1399999</v>
      </c>
      <c r="G352" s="387">
        <v>296041.43</v>
      </c>
    </row>
    <row r="353" spans="1:7">
      <c r="A353">
        <v>345</v>
      </c>
      <c r="B353">
        <v>24405</v>
      </c>
      <c r="C353" t="s">
        <v>494</v>
      </c>
      <c r="D353" s="387">
        <v>35471.449999999997</v>
      </c>
      <c r="E353" s="387">
        <v>817547181.35000002</v>
      </c>
      <c r="F353" s="387">
        <v>817552674.46000004</v>
      </c>
      <c r="G353" s="387">
        <v>29978.34</v>
      </c>
    </row>
    <row r="354" spans="1:7">
      <c r="A354">
        <v>346</v>
      </c>
      <c r="B354">
        <v>24406</v>
      </c>
      <c r="C354" t="s">
        <v>495</v>
      </c>
      <c r="D354" s="387">
        <v>17702</v>
      </c>
      <c r="E354">
        <v>538</v>
      </c>
      <c r="F354">
        <v>0</v>
      </c>
      <c r="G354" s="387">
        <v>18240</v>
      </c>
    </row>
    <row r="355" spans="1:7">
      <c r="A355">
        <v>347</v>
      </c>
      <c r="B355">
        <v>24409</v>
      </c>
      <c r="C355" t="s">
        <v>496</v>
      </c>
      <c r="D355" s="387">
        <v>55288.84</v>
      </c>
      <c r="E355" s="387">
        <v>754887327.27999997</v>
      </c>
      <c r="F355" s="387">
        <v>754869553.51999998</v>
      </c>
      <c r="G355" s="387">
        <v>73062.600000000006</v>
      </c>
    </row>
    <row r="356" spans="1:7">
      <c r="A356">
        <v>348</v>
      </c>
      <c r="B356">
        <v>24418</v>
      </c>
      <c r="C356" t="s">
        <v>497</v>
      </c>
      <c r="D356" s="387">
        <v>5253239.07</v>
      </c>
      <c r="E356" s="387">
        <v>79220181996.360001</v>
      </c>
      <c r="F356" s="387">
        <v>79180568469</v>
      </c>
      <c r="G356" s="387">
        <v>44866766.43</v>
      </c>
    </row>
    <row r="357" spans="1:7">
      <c r="A357">
        <v>349</v>
      </c>
      <c r="B357">
        <v>24436</v>
      </c>
      <c r="C357" t="s">
        <v>498</v>
      </c>
      <c r="D357" s="387">
        <v>270215.45</v>
      </c>
      <c r="E357" s="387">
        <v>1040852941.86</v>
      </c>
      <c r="F357" s="387">
        <v>1041072624.9</v>
      </c>
      <c r="G357" s="387">
        <v>50532.41</v>
      </c>
    </row>
    <row r="358" spans="1:7">
      <c r="A358">
        <v>350</v>
      </c>
      <c r="B358">
        <v>24451</v>
      </c>
      <c r="C358" t="s">
        <v>499</v>
      </c>
      <c r="D358" s="387">
        <v>13006.05</v>
      </c>
      <c r="E358" s="387">
        <v>113008568</v>
      </c>
      <c r="F358" s="387">
        <v>112999903.5</v>
      </c>
      <c r="G358" s="387">
        <v>21670.55</v>
      </c>
    </row>
    <row r="359" spans="1:7">
      <c r="A359">
        <v>351</v>
      </c>
      <c r="B359">
        <v>245</v>
      </c>
      <c r="C359" t="s">
        <v>500</v>
      </c>
      <c r="D359" s="387">
        <v>34947746.670000002</v>
      </c>
      <c r="E359" s="387">
        <v>268593167454.59</v>
      </c>
      <c r="F359" s="387">
        <v>268481184895.89999</v>
      </c>
      <c r="G359" s="387">
        <v>146930305.36000001</v>
      </c>
    </row>
    <row r="360" spans="1:7">
      <c r="A360">
        <v>352</v>
      </c>
      <c r="B360">
        <v>24500</v>
      </c>
      <c r="C360" t="s">
        <v>501</v>
      </c>
      <c r="D360" s="387">
        <v>12252231.82</v>
      </c>
      <c r="E360" s="387">
        <v>213958720563.35999</v>
      </c>
      <c r="F360" s="387">
        <v>213901608152.51999</v>
      </c>
      <c r="G360" s="387">
        <v>69364642.659999996</v>
      </c>
    </row>
    <row r="361" spans="1:7">
      <c r="A361">
        <v>353</v>
      </c>
      <c r="B361">
        <v>24502</v>
      </c>
      <c r="C361" t="s">
        <v>502</v>
      </c>
      <c r="D361" s="387">
        <v>22695515.059999999</v>
      </c>
      <c r="E361" s="387">
        <v>35587475658.550003</v>
      </c>
      <c r="F361" s="387">
        <v>35532605510.910004</v>
      </c>
      <c r="G361" s="387">
        <v>77565662.700000003</v>
      </c>
    </row>
    <row r="362" spans="1:7">
      <c r="A362">
        <v>354</v>
      </c>
      <c r="B362">
        <v>24504</v>
      </c>
      <c r="C362" t="s">
        <v>503</v>
      </c>
      <c r="D362">
        <v>-0.21</v>
      </c>
      <c r="E362" s="387">
        <v>19046971232.68</v>
      </c>
      <c r="F362" s="387">
        <v>19046971232.470001</v>
      </c>
      <c r="G362">
        <v>0</v>
      </c>
    </row>
    <row r="363" spans="1:7">
      <c r="A363">
        <v>355</v>
      </c>
      <c r="B363">
        <v>246</v>
      </c>
      <c r="C363" t="s">
        <v>504</v>
      </c>
      <c r="D363">
        <v>0</v>
      </c>
      <c r="E363" s="387">
        <v>142244500</v>
      </c>
      <c r="F363" s="387">
        <v>142244500</v>
      </c>
      <c r="G363">
        <v>0</v>
      </c>
    </row>
    <row r="364" spans="1:7">
      <c r="A364">
        <v>356</v>
      </c>
      <c r="B364">
        <v>24600</v>
      </c>
      <c r="C364" t="s">
        <v>504</v>
      </c>
      <c r="D364">
        <v>0</v>
      </c>
      <c r="E364" s="387">
        <v>142244500</v>
      </c>
      <c r="F364" s="387">
        <v>142244500</v>
      </c>
      <c r="G364">
        <v>0</v>
      </c>
    </row>
    <row r="365" spans="1:7">
      <c r="A365">
        <v>357</v>
      </c>
      <c r="B365">
        <v>25</v>
      </c>
      <c r="C365" t="s">
        <v>505</v>
      </c>
      <c r="D365" s="387">
        <v>7247110.2199999997</v>
      </c>
      <c r="E365" s="387">
        <v>1534085</v>
      </c>
      <c r="F365" s="387">
        <v>4804411.22</v>
      </c>
      <c r="G365" s="387">
        <v>3976784</v>
      </c>
    </row>
    <row r="366" spans="1:7">
      <c r="A366">
        <v>358</v>
      </c>
      <c r="B366">
        <v>255</v>
      </c>
      <c r="C366" t="s">
        <v>506</v>
      </c>
      <c r="D366" s="387">
        <v>5510869</v>
      </c>
      <c r="E366" s="387">
        <v>1534085</v>
      </c>
      <c r="F366" s="387">
        <v>3068170</v>
      </c>
      <c r="G366" s="387">
        <v>3976784</v>
      </c>
    </row>
    <row r="367" spans="1:7">
      <c r="A367">
        <v>359</v>
      </c>
      <c r="B367">
        <v>25500</v>
      </c>
      <c r="C367" t="s">
        <v>507</v>
      </c>
      <c r="D367" s="387">
        <v>5510869</v>
      </c>
      <c r="E367" s="387">
        <v>1534085</v>
      </c>
      <c r="F367" s="387">
        <v>3068170</v>
      </c>
      <c r="G367" s="387">
        <v>3976784</v>
      </c>
    </row>
    <row r="368" spans="1:7">
      <c r="A368">
        <v>360</v>
      </c>
      <c r="B368">
        <v>259</v>
      </c>
      <c r="C368" t="s">
        <v>508</v>
      </c>
      <c r="D368" s="387">
        <v>1736241.22</v>
      </c>
      <c r="E368">
        <v>0</v>
      </c>
      <c r="F368" s="387">
        <v>1736241.22</v>
      </c>
      <c r="G368">
        <v>0</v>
      </c>
    </row>
    <row r="369" spans="1:7">
      <c r="A369">
        <v>361</v>
      </c>
      <c r="B369">
        <v>25900</v>
      </c>
      <c r="C369" t="s">
        <v>508</v>
      </c>
      <c r="D369" s="387">
        <v>1736241.22</v>
      </c>
      <c r="E369">
        <v>0</v>
      </c>
      <c r="F369" s="387">
        <v>1736241.22</v>
      </c>
      <c r="G369">
        <v>0</v>
      </c>
    </row>
    <row r="370" spans="1:7">
      <c r="A370">
        <v>362</v>
      </c>
      <c r="B370">
        <v>27</v>
      </c>
      <c r="C370" t="s">
        <v>509</v>
      </c>
      <c r="D370" s="387">
        <v>1078051568.02</v>
      </c>
      <c r="E370" s="387">
        <v>306060356.69999999</v>
      </c>
      <c r="F370" s="387">
        <v>111353484.59</v>
      </c>
      <c r="G370" s="387">
        <v>1272758440.1300001</v>
      </c>
    </row>
    <row r="371" spans="1:7">
      <c r="A371">
        <v>363</v>
      </c>
      <c r="B371">
        <v>271</v>
      </c>
      <c r="C371" t="s">
        <v>510</v>
      </c>
      <c r="D371" s="387">
        <v>49225845.759999998</v>
      </c>
      <c r="E371" s="387">
        <v>17343995.949999999</v>
      </c>
      <c r="F371" s="387">
        <v>24245486.5</v>
      </c>
      <c r="G371" s="387">
        <v>42324355.210000001</v>
      </c>
    </row>
    <row r="372" spans="1:7">
      <c r="A372">
        <v>364</v>
      </c>
      <c r="B372">
        <v>27101</v>
      </c>
      <c r="C372" t="s">
        <v>511</v>
      </c>
      <c r="D372" s="387">
        <v>5831405.3600000003</v>
      </c>
      <c r="E372" s="387">
        <v>4101491</v>
      </c>
      <c r="F372" s="387">
        <v>4822416</v>
      </c>
      <c r="G372" s="387">
        <v>5110480.3600000003</v>
      </c>
    </row>
    <row r="373" spans="1:7">
      <c r="A373">
        <v>365</v>
      </c>
      <c r="B373">
        <v>27102</v>
      </c>
      <c r="C373" t="s">
        <v>512</v>
      </c>
      <c r="D373" s="387">
        <v>4511813</v>
      </c>
      <c r="E373" s="387">
        <v>3733362</v>
      </c>
      <c r="F373" s="387">
        <v>4769186</v>
      </c>
      <c r="G373" s="387">
        <v>3475989</v>
      </c>
    </row>
    <row r="374" spans="1:7">
      <c r="A374">
        <v>366</v>
      </c>
      <c r="B374">
        <v>27103</v>
      </c>
      <c r="C374" t="s">
        <v>513</v>
      </c>
      <c r="D374" s="387">
        <v>38882627.399999999</v>
      </c>
      <c r="E374" s="387">
        <v>9509142.9499999993</v>
      </c>
      <c r="F374" s="387">
        <v>14653884.5</v>
      </c>
      <c r="G374" s="387">
        <v>33737885.850000001</v>
      </c>
    </row>
    <row r="375" spans="1:7">
      <c r="A375">
        <v>367</v>
      </c>
      <c r="B375">
        <v>272</v>
      </c>
      <c r="C375" t="s">
        <v>514</v>
      </c>
      <c r="D375" s="387">
        <v>15346193.77</v>
      </c>
      <c r="E375" s="387">
        <v>79099818.659999996</v>
      </c>
      <c r="F375" s="387">
        <v>80532430.900000006</v>
      </c>
      <c r="G375" s="387">
        <v>13913581.529999999</v>
      </c>
    </row>
    <row r="376" spans="1:7">
      <c r="A376">
        <v>368</v>
      </c>
      <c r="B376">
        <v>27201</v>
      </c>
      <c r="C376" t="s">
        <v>515</v>
      </c>
      <c r="D376" s="387">
        <v>677635.06</v>
      </c>
      <c r="E376" s="387">
        <v>236999</v>
      </c>
      <c r="F376" s="387">
        <v>670266</v>
      </c>
      <c r="G376" s="387">
        <v>244368.06</v>
      </c>
    </row>
    <row r="377" spans="1:7">
      <c r="A377">
        <v>369</v>
      </c>
      <c r="B377">
        <v>27202</v>
      </c>
      <c r="C377" t="s">
        <v>516</v>
      </c>
      <c r="D377">
        <v>0</v>
      </c>
      <c r="E377" s="387">
        <v>8000</v>
      </c>
      <c r="F377" s="387">
        <v>8000</v>
      </c>
      <c r="G377">
        <v>0</v>
      </c>
    </row>
    <row r="378" spans="1:7">
      <c r="A378">
        <v>370</v>
      </c>
      <c r="B378">
        <v>27203</v>
      </c>
      <c r="C378" t="s">
        <v>517</v>
      </c>
      <c r="D378" s="387">
        <v>10905184</v>
      </c>
      <c r="E378" s="387">
        <v>23750000</v>
      </c>
      <c r="F378" s="387">
        <v>23257500</v>
      </c>
      <c r="G378" s="387">
        <v>11397684</v>
      </c>
    </row>
    <row r="379" spans="1:7">
      <c r="A379">
        <v>371</v>
      </c>
      <c r="B379">
        <v>27204</v>
      </c>
      <c r="C379" t="s">
        <v>518</v>
      </c>
      <c r="D379" s="387">
        <v>199000</v>
      </c>
      <c r="E379" s="387">
        <v>48467752</v>
      </c>
      <c r="F379" s="387">
        <v>48536252</v>
      </c>
      <c r="G379" s="387">
        <v>130500</v>
      </c>
    </row>
    <row r="380" spans="1:7">
      <c r="A380">
        <v>372</v>
      </c>
      <c r="B380">
        <v>27208</v>
      </c>
      <c r="C380" t="s">
        <v>519</v>
      </c>
      <c r="D380" s="387">
        <v>3564374.71</v>
      </c>
      <c r="E380" s="387">
        <v>6637067.6600000001</v>
      </c>
      <c r="F380" s="387">
        <v>8060412.9000000004</v>
      </c>
      <c r="G380" s="387">
        <v>2141029.4700000002</v>
      </c>
    </row>
    <row r="381" spans="1:7">
      <c r="A381">
        <v>373</v>
      </c>
      <c r="B381">
        <v>274</v>
      </c>
      <c r="C381" t="s">
        <v>520</v>
      </c>
      <c r="D381" s="387">
        <v>1011485552</v>
      </c>
      <c r="E381" s="387">
        <v>208035275.83000001</v>
      </c>
      <c r="F381" s="387">
        <v>5057664.9000000004</v>
      </c>
      <c r="G381" s="387">
        <v>1214463162.9300001</v>
      </c>
    </row>
    <row r="382" spans="1:7">
      <c r="A382">
        <v>374</v>
      </c>
      <c r="B382">
        <v>27407</v>
      </c>
      <c r="C382" t="s">
        <v>521</v>
      </c>
      <c r="D382">
        <v>0</v>
      </c>
      <c r="E382" s="387">
        <v>58391267</v>
      </c>
      <c r="F382">
        <v>100</v>
      </c>
      <c r="G382" s="387">
        <v>58391167</v>
      </c>
    </row>
    <row r="383" spans="1:7">
      <c r="A383">
        <v>375</v>
      </c>
      <c r="B383">
        <v>27408</v>
      </c>
      <c r="C383" t="s">
        <v>522</v>
      </c>
      <c r="D383">
        <v>0</v>
      </c>
      <c r="E383" s="387">
        <v>1519265.93</v>
      </c>
      <c r="F383" s="387">
        <v>1048</v>
      </c>
      <c r="G383" s="387">
        <v>1518217.93</v>
      </c>
    </row>
    <row r="384" spans="1:7">
      <c r="A384">
        <v>376</v>
      </c>
      <c r="B384">
        <v>27409</v>
      </c>
      <c r="C384" t="s">
        <v>523</v>
      </c>
      <c r="D384">
        <v>0</v>
      </c>
      <c r="E384" s="387">
        <v>438255</v>
      </c>
      <c r="F384" s="387">
        <v>438255</v>
      </c>
      <c r="G384">
        <v>0</v>
      </c>
    </row>
    <row r="385" spans="1:7">
      <c r="A385">
        <v>377</v>
      </c>
      <c r="B385">
        <v>27410</v>
      </c>
      <c r="C385" t="s">
        <v>524</v>
      </c>
      <c r="D385" s="387">
        <v>586150237</v>
      </c>
      <c r="E385" s="387">
        <v>120020000</v>
      </c>
      <c r="F385" s="387">
        <v>3322646</v>
      </c>
      <c r="G385" s="387">
        <v>702847591</v>
      </c>
    </row>
    <row r="386" spans="1:7">
      <c r="A386">
        <v>378</v>
      </c>
      <c r="B386">
        <v>27413</v>
      </c>
      <c r="C386" t="s">
        <v>525</v>
      </c>
      <c r="D386" s="387">
        <v>39517500</v>
      </c>
      <c r="E386" s="387">
        <v>1334002</v>
      </c>
      <c r="F386">
        <v>0</v>
      </c>
      <c r="G386" s="387">
        <v>40851502</v>
      </c>
    </row>
    <row r="387" spans="1:7">
      <c r="A387">
        <v>379</v>
      </c>
      <c r="B387">
        <v>27421</v>
      </c>
      <c r="C387" t="s">
        <v>526</v>
      </c>
      <c r="D387" s="387">
        <v>6274299</v>
      </c>
      <c r="E387" s="387">
        <v>23700</v>
      </c>
      <c r="F387" s="387">
        <v>3326</v>
      </c>
      <c r="G387" s="387">
        <v>6294673</v>
      </c>
    </row>
    <row r="388" spans="1:7">
      <c r="A388">
        <v>380</v>
      </c>
      <c r="B388">
        <v>27425</v>
      </c>
      <c r="C388" t="s">
        <v>527</v>
      </c>
      <c r="D388" s="387">
        <v>17375666</v>
      </c>
      <c r="E388" s="387">
        <v>1335067</v>
      </c>
      <c r="F388" s="387">
        <v>907627</v>
      </c>
      <c r="G388" s="387">
        <v>17803106</v>
      </c>
    </row>
    <row r="389" spans="1:7">
      <c r="A389">
        <v>381</v>
      </c>
      <c r="B389">
        <v>27426</v>
      </c>
      <c r="C389" t="s">
        <v>528</v>
      </c>
      <c r="D389" s="387">
        <v>209011</v>
      </c>
      <c r="E389" s="387">
        <v>33749.5</v>
      </c>
      <c r="F389" s="387">
        <v>242760.5</v>
      </c>
      <c r="G389">
        <v>0</v>
      </c>
    </row>
    <row r="390" spans="1:7">
      <c r="A390">
        <v>382</v>
      </c>
      <c r="B390">
        <v>27427</v>
      </c>
      <c r="C390" t="s">
        <v>529</v>
      </c>
      <c r="D390">
        <v>0</v>
      </c>
      <c r="E390" s="387">
        <v>134607.4</v>
      </c>
      <c r="F390" s="387">
        <v>134607.4</v>
      </c>
      <c r="G390">
        <v>0</v>
      </c>
    </row>
    <row r="391" spans="1:7">
      <c r="A391">
        <v>383</v>
      </c>
      <c r="B391">
        <v>27428</v>
      </c>
      <c r="C391" t="s">
        <v>530</v>
      </c>
      <c r="D391">
        <v>0</v>
      </c>
      <c r="E391" s="387">
        <v>7295</v>
      </c>
      <c r="F391" s="387">
        <v>7295</v>
      </c>
      <c r="G391">
        <v>0</v>
      </c>
    </row>
    <row r="392" spans="1:7">
      <c r="A392">
        <v>384</v>
      </c>
      <c r="B392">
        <v>27437</v>
      </c>
      <c r="C392" t="s">
        <v>531</v>
      </c>
      <c r="D392" s="387">
        <v>34405934</v>
      </c>
      <c r="E392">
        <v>0</v>
      </c>
      <c r="F392">
        <v>0</v>
      </c>
      <c r="G392" s="387">
        <v>34405934</v>
      </c>
    </row>
    <row r="393" spans="1:7">
      <c r="A393">
        <v>385</v>
      </c>
      <c r="B393">
        <v>27438</v>
      </c>
      <c r="C393" t="s">
        <v>532</v>
      </c>
      <c r="D393" s="387">
        <v>30693423</v>
      </c>
      <c r="E393">
        <v>0</v>
      </c>
      <c r="F393">
        <v>0</v>
      </c>
      <c r="G393" s="387">
        <v>30693423</v>
      </c>
    </row>
    <row r="394" spans="1:7">
      <c r="A394">
        <v>386</v>
      </c>
      <c r="B394">
        <v>27439</v>
      </c>
      <c r="C394" t="s">
        <v>533</v>
      </c>
      <c r="D394" s="387">
        <v>36521016</v>
      </c>
      <c r="E394">
        <v>0</v>
      </c>
      <c r="F394">
        <v>0</v>
      </c>
      <c r="G394" s="387">
        <v>36521016</v>
      </c>
    </row>
    <row r="395" spans="1:7">
      <c r="A395">
        <v>387</v>
      </c>
      <c r="B395">
        <v>27440</v>
      </c>
      <c r="C395" t="s">
        <v>534</v>
      </c>
      <c r="D395" s="387">
        <v>40839356</v>
      </c>
      <c r="E395">
        <v>0</v>
      </c>
      <c r="F395">
        <v>0</v>
      </c>
      <c r="G395" s="387">
        <v>40839356</v>
      </c>
    </row>
    <row r="396" spans="1:7">
      <c r="A396">
        <v>388</v>
      </c>
      <c r="B396">
        <v>27441</v>
      </c>
      <c r="C396" t="s">
        <v>535</v>
      </c>
      <c r="D396" s="387">
        <v>63522000</v>
      </c>
      <c r="E396">
        <v>0</v>
      </c>
      <c r="F396">
        <v>0</v>
      </c>
      <c r="G396" s="387">
        <v>63522000</v>
      </c>
    </row>
    <row r="397" spans="1:7">
      <c r="A397">
        <v>389</v>
      </c>
      <c r="B397">
        <v>27443</v>
      </c>
      <c r="C397" t="s">
        <v>536</v>
      </c>
      <c r="D397" s="387">
        <v>155977110</v>
      </c>
      <c r="E397" s="387">
        <v>24798067</v>
      </c>
      <c r="F397">
        <v>0</v>
      </c>
      <c r="G397" s="387">
        <v>180775177</v>
      </c>
    </row>
    <row r="398" spans="1:7">
      <c r="A398">
        <v>390</v>
      </c>
      <c r="B398">
        <v>278</v>
      </c>
      <c r="C398" t="s">
        <v>537</v>
      </c>
      <c r="D398" s="387">
        <v>1993976.49</v>
      </c>
      <c r="E398" s="387">
        <v>1581266.26</v>
      </c>
      <c r="F398" s="387">
        <v>1517902.29</v>
      </c>
      <c r="G398" s="387">
        <v>2057340.46</v>
      </c>
    </row>
    <row r="399" spans="1:7">
      <c r="A399">
        <v>391</v>
      </c>
      <c r="B399">
        <v>27853</v>
      </c>
      <c r="C399" t="s">
        <v>538</v>
      </c>
      <c r="D399" s="387">
        <v>318219</v>
      </c>
      <c r="E399">
        <v>0</v>
      </c>
      <c r="F399">
        <v>0</v>
      </c>
      <c r="G399" s="387">
        <v>318219</v>
      </c>
    </row>
    <row r="400" spans="1:7">
      <c r="A400">
        <v>392</v>
      </c>
      <c r="B400">
        <v>27890</v>
      </c>
      <c r="C400" t="s">
        <v>539</v>
      </c>
      <c r="D400" s="387">
        <v>1675757.49</v>
      </c>
      <c r="E400" s="387">
        <v>1581266.26</v>
      </c>
      <c r="F400" s="387">
        <v>1517902.29</v>
      </c>
      <c r="G400" s="387">
        <v>1739121.46</v>
      </c>
    </row>
    <row r="401" spans="1:7">
      <c r="A401">
        <v>393</v>
      </c>
      <c r="B401">
        <v>28</v>
      </c>
      <c r="C401" t="s">
        <v>540</v>
      </c>
      <c r="D401" s="387">
        <v>1891924103.76</v>
      </c>
      <c r="E401" s="387">
        <v>2628983588.0700002</v>
      </c>
      <c r="F401" s="387">
        <v>2974852348.6500001</v>
      </c>
      <c r="G401" s="387">
        <v>1546055343.1800001</v>
      </c>
    </row>
    <row r="402" spans="1:7">
      <c r="A402">
        <v>394</v>
      </c>
      <c r="B402">
        <v>282</v>
      </c>
      <c r="C402" t="s">
        <v>541</v>
      </c>
      <c r="D402" s="387">
        <v>7439357.8899999997</v>
      </c>
      <c r="E402" s="387">
        <v>8029698.0899999999</v>
      </c>
      <c r="F402" s="387">
        <v>9846211.4499999993</v>
      </c>
      <c r="G402" s="387">
        <v>5622844.5300000003</v>
      </c>
    </row>
    <row r="403" spans="1:7">
      <c r="A403">
        <v>395</v>
      </c>
      <c r="B403">
        <v>28260</v>
      </c>
      <c r="C403" t="s">
        <v>542</v>
      </c>
      <c r="D403" s="387">
        <v>7320647.8899999997</v>
      </c>
      <c r="E403" s="387">
        <v>8029698.0899999999</v>
      </c>
      <c r="F403" s="387">
        <v>9727501.4499999993</v>
      </c>
      <c r="G403" s="387">
        <v>5622844.5300000003</v>
      </c>
    </row>
    <row r="404" spans="1:7">
      <c r="A404">
        <v>396</v>
      </c>
      <c r="B404">
        <v>28263</v>
      </c>
      <c r="C404" t="s">
        <v>543</v>
      </c>
      <c r="D404" s="387">
        <v>118710</v>
      </c>
      <c r="E404">
        <v>0</v>
      </c>
      <c r="F404" s="387">
        <v>118710</v>
      </c>
      <c r="G404">
        <v>0</v>
      </c>
    </row>
    <row r="405" spans="1:7">
      <c r="A405">
        <v>397</v>
      </c>
      <c r="B405">
        <v>283</v>
      </c>
      <c r="C405" t="s">
        <v>544</v>
      </c>
      <c r="D405" s="387">
        <v>47655283.710000001</v>
      </c>
      <c r="E405" s="387">
        <v>17948776.949999999</v>
      </c>
      <c r="F405" s="387">
        <v>15608716.529999999</v>
      </c>
      <c r="G405" s="387">
        <v>49995344.130000003</v>
      </c>
    </row>
    <row r="406" spans="1:7">
      <c r="A406">
        <v>398</v>
      </c>
      <c r="B406">
        <v>28361</v>
      </c>
      <c r="C406" t="s">
        <v>545</v>
      </c>
      <c r="D406" s="387">
        <v>2957245.95</v>
      </c>
      <c r="E406" s="387">
        <v>984698.69</v>
      </c>
      <c r="F406" s="387">
        <v>1430032.54</v>
      </c>
      <c r="G406" s="387">
        <v>2511912.1</v>
      </c>
    </row>
    <row r="407" spans="1:7">
      <c r="A407">
        <v>399</v>
      </c>
      <c r="B407">
        <v>28362</v>
      </c>
      <c r="C407" t="s">
        <v>546</v>
      </c>
      <c r="D407" s="387">
        <v>7835185.2199999997</v>
      </c>
      <c r="E407" s="387">
        <v>4710627.84</v>
      </c>
      <c r="F407" s="387">
        <v>5644833.3399999999</v>
      </c>
      <c r="G407" s="387">
        <v>6900979.7199999997</v>
      </c>
    </row>
    <row r="408" spans="1:7">
      <c r="A408">
        <v>400</v>
      </c>
      <c r="B408">
        <v>28363</v>
      </c>
      <c r="C408" t="s">
        <v>547</v>
      </c>
      <c r="D408" s="387">
        <v>36862852.539999999</v>
      </c>
      <c r="E408" s="387">
        <v>12253450.42</v>
      </c>
      <c r="F408" s="387">
        <v>8533850.6500000004</v>
      </c>
      <c r="G408" s="387">
        <v>40582452.310000002</v>
      </c>
    </row>
    <row r="409" spans="1:7">
      <c r="A409">
        <v>401</v>
      </c>
      <c r="B409">
        <v>284</v>
      </c>
      <c r="C409" t="s">
        <v>548</v>
      </c>
      <c r="D409" s="387">
        <v>9189836.4199999999</v>
      </c>
      <c r="E409" s="387">
        <v>2599426.81</v>
      </c>
      <c r="F409" s="387">
        <v>10607230.210000001</v>
      </c>
      <c r="G409" s="387">
        <v>1182033.02</v>
      </c>
    </row>
    <row r="410" spans="1:7">
      <c r="A410">
        <v>402</v>
      </c>
      <c r="B410">
        <v>28401</v>
      </c>
      <c r="C410" t="s">
        <v>549</v>
      </c>
      <c r="D410" s="387">
        <v>8543290.4199999999</v>
      </c>
      <c r="E410" s="387">
        <v>1795449.66</v>
      </c>
      <c r="F410" s="387">
        <v>9739031.0600000005</v>
      </c>
      <c r="G410" s="387">
        <v>599709.02</v>
      </c>
    </row>
    <row r="411" spans="1:7">
      <c r="A411">
        <v>403</v>
      </c>
      <c r="B411">
        <v>28402</v>
      </c>
      <c r="C411" t="s">
        <v>550</v>
      </c>
      <c r="D411" s="387">
        <v>646546</v>
      </c>
      <c r="E411" s="387">
        <v>764419.15</v>
      </c>
      <c r="F411" s="387">
        <v>868199.15</v>
      </c>
      <c r="G411" s="387">
        <v>542766</v>
      </c>
    </row>
    <row r="412" spans="1:7">
      <c r="A412">
        <v>404</v>
      </c>
      <c r="B412">
        <v>28403</v>
      </c>
      <c r="C412" t="s">
        <v>551</v>
      </c>
      <c r="D412">
        <v>0</v>
      </c>
      <c r="E412" s="387">
        <v>39558</v>
      </c>
      <c r="F412">
        <v>0</v>
      </c>
      <c r="G412" s="387">
        <v>39558</v>
      </c>
    </row>
    <row r="413" spans="1:7">
      <c r="A413">
        <v>405</v>
      </c>
      <c r="B413">
        <v>285</v>
      </c>
      <c r="C413" t="s">
        <v>552</v>
      </c>
      <c r="D413">
        <v>0</v>
      </c>
      <c r="E413">
        <v>135</v>
      </c>
      <c r="F413">
        <v>135</v>
      </c>
      <c r="G413">
        <v>0</v>
      </c>
    </row>
    <row r="414" spans="1:7">
      <c r="A414">
        <v>406</v>
      </c>
      <c r="B414">
        <v>28518</v>
      </c>
      <c r="C414" t="s">
        <v>553</v>
      </c>
      <c r="D414">
        <v>0</v>
      </c>
      <c r="E414">
        <v>135</v>
      </c>
      <c r="F414">
        <v>135</v>
      </c>
      <c r="G414">
        <v>0</v>
      </c>
    </row>
    <row r="415" spans="1:7">
      <c r="A415">
        <v>407</v>
      </c>
      <c r="B415">
        <v>286</v>
      </c>
      <c r="C415" t="s">
        <v>554</v>
      </c>
      <c r="D415" s="387">
        <v>1756211868.3900001</v>
      </c>
      <c r="E415" s="387">
        <v>2454027041.2399998</v>
      </c>
      <c r="F415" s="387">
        <v>2825144796.27</v>
      </c>
      <c r="G415" s="387">
        <v>1385094113.3599999</v>
      </c>
    </row>
    <row r="416" spans="1:7">
      <c r="A416">
        <v>408</v>
      </c>
      <c r="B416">
        <v>28610</v>
      </c>
      <c r="C416" t="s">
        <v>555</v>
      </c>
      <c r="D416" s="387">
        <v>314082846.24000001</v>
      </c>
      <c r="E416" s="387">
        <v>369702</v>
      </c>
      <c r="F416" s="387">
        <v>314452548.24000001</v>
      </c>
      <c r="G416">
        <v>0</v>
      </c>
    </row>
    <row r="417" spans="1:7">
      <c r="A417">
        <v>409</v>
      </c>
      <c r="B417">
        <v>28619</v>
      </c>
      <c r="C417" t="s">
        <v>556</v>
      </c>
      <c r="D417">
        <v>0</v>
      </c>
      <c r="E417" s="387">
        <v>217603</v>
      </c>
      <c r="F417" s="387">
        <v>217603</v>
      </c>
      <c r="G417">
        <v>0</v>
      </c>
    </row>
    <row r="418" spans="1:7">
      <c r="A418">
        <v>410</v>
      </c>
      <c r="B418">
        <v>28626</v>
      </c>
      <c r="C418" t="s">
        <v>557</v>
      </c>
      <c r="D418">
        <v>0</v>
      </c>
      <c r="E418" s="387">
        <v>144096</v>
      </c>
      <c r="F418" s="387">
        <v>144096</v>
      </c>
      <c r="G418">
        <v>0</v>
      </c>
    </row>
    <row r="419" spans="1:7">
      <c r="A419">
        <v>411</v>
      </c>
      <c r="B419">
        <v>28629</v>
      </c>
      <c r="C419" t="s">
        <v>558</v>
      </c>
      <c r="D419" s="387">
        <v>10480124.119999999</v>
      </c>
      <c r="E419" s="387">
        <v>2363069024.3499999</v>
      </c>
      <c r="F419" s="387">
        <v>1165232082.1099999</v>
      </c>
      <c r="G419" s="387">
        <v>1208317066.3599999</v>
      </c>
    </row>
    <row r="420" spans="1:7">
      <c r="A420">
        <v>412</v>
      </c>
      <c r="B420">
        <v>28631</v>
      </c>
      <c r="C420" t="s">
        <v>559</v>
      </c>
      <c r="D420">
        <v>0</v>
      </c>
      <c r="E420" s="387">
        <v>5553.88</v>
      </c>
      <c r="F420" s="387">
        <v>5553.88</v>
      </c>
      <c r="G420">
        <v>0</v>
      </c>
    </row>
    <row r="421" spans="1:7">
      <c r="A421">
        <v>413</v>
      </c>
      <c r="B421">
        <v>28632</v>
      </c>
      <c r="C421" t="s">
        <v>560</v>
      </c>
      <c r="D421" s="387">
        <v>1136095394.97</v>
      </c>
      <c r="E421" s="387">
        <v>644000</v>
      </c>
      <c r="F421" s="387">
        <v>1136739394.97</v>
      </c>
      <c r="G421">
        <v>0</v>
      </c>
    </row>
    <row r="422" spans="1:7">
      <c r="A422">
        <v>414</v>
      </c>
      <c r="B422">
        <v>28633</v>
      </c>
      <c r="C422" t="s">
        <v>561</v>
      </c>
      <c r="D422" s="387">
        <v>74068283.180000007</v>
      </c>
      <c r="E422" s="387">
        <v>21162985.460000001</v>
      </c>
      <c r="F422" s="387">
        <v>95231268.640000001</v>
      </c>
      <c r="G422">
        <v>0</v>
      </c>
    </row>
    <row r="423" spans="1:7">
      <c r="A423">
        <v>415</v>
      </c>
      <c r="B423">
        <v>28634</v>
      </c>
      <c r="C423" t="s">
        <v>562</v>
      </c>
      <c r="D423" s="387">
        <v>108583417.04000001</v>
      </c>
      <c r="E423" s="387">
        <v>22664016.960000001</v>
      </c>
      <c r="F423" s="387">
        <v>42869821</v>
      </c>
      <c r="G423" s="387">
        <v>88377613</v>
      </c>
    </row>
    <row r="424" spans="1:7">
      <c r="A424">
        <v>416</v>
      </c>
      <c r="B424">
        <v>28635</v>
      </c>
      <c r="C424" t="s">
        <v>563</v>
      </c>
      <c r="D424" s="387">
        <v>112901802.84</v>
      </c>
      <c r="E424" s="387">
        <v>23818333.59</v>
      </c>
      <c r="F424" s="387">
        <v>57031726.43</v>
      </c>
      <c r="G424" s="387">
        <v>79688410</v>
      </c>
    </row>
    <row r="425" spans="1:7">
      <c r="A425">
        <v>417</v>
      </c>
      <c r="B425">
        <v>28636</v>
      </c>
      <c r="C425" t="s">
        <v>564</v>
      </c>
      <c r="D425">
        <v>0</v>
      </c>
      <c r="E425" s="387">
        <v>13220702</v>
      </c>
      <c r="F425" s="387">
        <v>13220702</v>
      </c>
      <c r="G425">
        <v>0</v>
      </c>
    </row>
    <row r="426" spans="1:7">
      <c r="A426">
        <v>418</v>
      </c>
      <c r="B426">
        <v>28638</v>
      </c>
      <c r="C426" t="s">
        <v>565</v>
      </c>
      <c r="D426">
        <v>0</v>
      </c>
      <c r="E426" s="387">
        <v>4355512</v>
      </c>
      <c r="F426">
        <v>0</v>
      </c>
      <c r="G426" s="387">
        <v>4355512</v>
      </c>
    </row>
    <row r="427" spans="1:7">
      <c r="A427">
        <v>419</v>
      </c>
      <c r="B427">
        <v>28639</v>
      </c>
      <c r="C427" t="s">
        <v>566</v>
      </c>
      <c r="D427">
        <v>0</v>
      </c>
      <c r="E427" s="387">
        <v>4355512</v>
      </c>
      <c r="F427">
        <v>0</v>
      </c>
      <c r="G427" s="387">
        <v>4355512</v>
      </c>
    </row>
    <row r="428" spans="1:7">
      <c r="A428">
        <v>420</v>
      </c>
      <c r="B428">
        <v>288</v>
      </c>
      <c r="C428" t="s">
        <v>567</v>
      </c>
      <c r="D428" s="387">
        <v>16387915.1</v>
      </c>
      <c r="E428" s="387">
        <v>140526077.41999999</v>
      </c>
      <c r="F428" s="387">
        <v>65622999.630000003</v>
      </c>
      <c r="G428" s="387">
        <v>91290992.890000001</v>
      </c>
    </row>
    <row r="429" spans="1:7">
      <c r="A429">
        <v>421</v>
      </c>
      <c r="B429">
        <v>28801</v>
      </c>
      <c r="C429" t="s">
        <v>568</v>
      </c>
      <c r="D429">
        <v>0</v>
      </c>
      <c r="E429" s="387">
        <v>44257237</v>
      </c>
      <c r="F429" s="387">
        <v>44257237</v>
      </c>
      <c r="G429">
        <v>0</v>
      </c>
    </row>
    <row r="430" spans="1:7">
      <c r="A430">
        <v>422</v>
      </c>
      <c r="B430">
        <v>28810</v>
      </c>
      <c r="C430" t="s">
        <v>569</v>
      </c>
      <c r="D430" s="387">
        <v>931421.36</v>
      </c>
      <c r="E430">
        <v>0</v>
      </c>
      <c r="F430">
        <v>0</v>
      </c>
      <c r="G430" s="387">
        <v>931421.36</v>
      </c>
    </row>
    <row r="431" spans="1:7">
      <c r="A431">
        <v>423</v>
      </c>
      <c r="B431">
        <v>28815</v>
      </c>
      <c r="C431" t="s">
        <v>570</v>
      </c>
      <c r="D431" s="387">
        <v>5595315.1100000003</v>
      </c>
      <c r="E431" s="387">
        <v>2391</v>
      </c>
      <c r="F431" s="387">
        <v>25970</v>
      </c>
      <c r="G431" s="387">
        <v>5571736.1100000003</v>
      </c>
    </row>
    <row r="432" spans="1:7">
      <c r="A432">
        <v>424</v>
      </c>
      <c r="B432">
        <v>28820</v>
      </c>
      <c r="C432" t="s">
        <v>571</v>
      </c>
      <c r="D432" s="387">
        <v>5216609.63</v>
      </c>
      <c r="E432" s="387">
        <v>77792432.420000002</v>
      </c>
      <c r="F432" s="387">
        <v>9772719.6300000008</v>
      </c>
      <c r="G432" s="387">
        <v>73236322.420000002</v>
      </c>
    </row>
    <row r="433" spans="1:7">
      <c r="A433">
        <v>425</v>
      </c>
      <c r="B433">
        <v>28881</v>
      </c>
      <c r="C433" t="s">
        <v>572</v>
      </c>
      <c r="D433" s="387">
        <v>2609192.67</v>
      </c>
      <c r="E433" s="387">
        <v>9752185.3300000001</v>
      </c>
      <c r="F433" s="387">
        <v>6141311</v>
      </c>
      <c r="G433" s="387">
        <v>6220067</v>
      </c>
    </row>
    <row r="434" spans="1:7">
      <c r="A434">
        <v>426</v>
      </c>
      <c r="B434">
        <v>28882</v>
      </c>
      <c r="C434" t="s">
        <v>573</v>
      </c>
      <c r="D434" s="387">
        <v>2035376.33</v>
      </c>
      <c r="E434" s="387">
        <v>8560078.6699999999</v>
      </c>
      <c r="F434" s="387">
        <v>5264009</v>
      </c>
      <c r="G434" s="387">
        <v>5331446</v>
      </c>
    </row>
    <row r="435" spans="1:7">
      <c r="A435">
        <v>427</v>
      </c>
      <c r="B435">
        <v>28890</v>
      </c>
      <c r="C435" t="s">
        <v>574</v>
      </c>
      <c r="D435">
        <v>0</v>
      </c>
      <c r="E435" s="387">
        <v>161753</v>
      </c>
      <c r="F435" s="387">
        <v>161753</v>
      </c>
      <c r="G435">
        <v>0</v>
      </c>
    </row>
    <row r="436" spans="1:7">
      <c r="A436">
        <v>428</v>
      </c>
      <c r="B436">
        <v>289</v>
      </c>
      <c r="C436" t="s">
        <v>575</v>
      </c>
      <c r="D436" s="387">
        <v>55039842.25</v>
      </c>
      <c r="E436" s="387">
        <v>5852432.5599999996</v>
      </c>
      <c r="F436" s="387">
        <v>48022259.560000002</v>
      </c>
      <c r="G436" s="387">
        <v>12870015.25</v>
      </c>
    </row>
    <row r="437" spans="1:7">
      <c r="A437">
        <v>429</v>
      </c>
      <c r="B437">
        <v>28913</v>
      </c>
      <c r="C437" t="s">
        <v>576</v>
      </c>
      <c r="D437" s="387">
        <v>20000</v>
      </c>
      <c r="E437">
        <v>0</v>
      </c>
      <c r="F437">
        <v>0</v>
      </c>
      <c r="G437" s="387">
        <v>20000</v>
      </c>
    </row>
    <row r="438" spans="1:7">
      <c r="A438">
        <v>430</v>
      </c>
      <c r="B438">
        <v>28914</v>
      </c>
      <c r="C438" t="s">
        <v>577</v>
      </c>
      <c r="D438" s="387">
        <v>414403</v>
      </c>
      <c r="E438" s="387">
        <v>1999</v>
      </c>
      <c r="F438" s="387">
        <v>67670</v>
      </c>
      <c r="G438" s="387">
        <v>348732</v>
      </c>
    </row>
    <row r="439" spans="1:7">
      <c r="A439">
        <v>431</v>
      </c>
      <c r="B439">
        <v>28915</v>
      </c>
      <c r="C439" t="s">
        <v>578</v>
      </c>
      <c r="D439" s="387">
        <v>957174</v>
      </c>
      <c r="E439" s="387">
        <v>752781.25</v>
      </c>
      <c r="F439">
        <v>0</v>
      </c>
      <c r="G439" s="387">
        <v>1709955.25</v>
      </c>
    </row>
    <row r="440" spans="1:7">
      <c r="A440">
        <v>432</v>
      </c>
      <c r="B440">
        <v>28918</v>
      </c>
      <c r="C440" t="s">
        <v>579</v>
      </c>
      <c r="D440" s="387">
        <v>2506678</v>
      </c>
      <c r="E440" s="387">
        <v>161753</v>
      </c>
      <c r="F440" s="387">
        <v>161753</v>
      </c>
      <c r="G440" s="387">
        <v>2506678</v>
      </c>
    </row>
    <row r="441" spans="1:7">
      <c r="A441">
        <v>433</v>
      </c>
      <c r="B441">
        <v>28919</v>
      </c>
      <c r="C441" t="s">
        <v>580</v>
      </c>
      <c r="D441" s="387">
        <v>43671392.25</v>
      </c>
      <c r="E441" s="387">
        <v>1556187</v>
      </c>
      <c r="F441" s="387">
        <v>40620168.25</v>
      </c>
      <c r="G441" s="387">
        <v>4607411</v>
      </c>
    </row>
    <row r="442" spans="1:7">
      <c r="A442">
        <v>434</v>
      </c>
      <c r="B442">
        <v>28929</v>
      </c>
      <c r="C442" t="s">
        <v>581</v>
      </c>
      <c r="D442" s="387">
        <v>300000</v>
      </c>
      <c r="E442" s="387">
        <v>177100.31</v>
      </c>
      <c r="F442" s="387">
        <v>177100.31</v>
      </c>
      <c r="G442" s="387">
        <v>300000</v>
      </c>
    </row>
    <row r="443" spans="1:7">
      <c r="A443">
        <v>435</v>
      </c>
      <c r="B443">
        <v>28930</v>
      </c>
      <c r="C443" t="s">
        <v>582</v>
      </c>
      <c r="D443" s="387">
        <v>7170195</v>
      </c>
      <c r="E443" s="387">
        <v>3202612</v>
      </c>
      <c r="F443" s="387">
        <v>6995568</v>
      </c>
      <c r="G443" s="387">
        <v>3377239</v>
      </c>
    </row>
    <row r="444" spans="1:7">
      <c r="A444">
        <v>436</v>
      </c>
      <c r="B444">
        <v>29</v>
      </c>
      <c r="C444" t="s">
        <v>583</v>
      </c>
      <c r="D444" s="387">
        <v>7620081216.5500002</v>
      </c>
      <c r="E444" s="387">
        <v>236093833781.54999</v>
      </c>
      <c r="F444" s="387">
        <v>234004690647.44</v>
      </c>
      <c r="G444" s="387">
        <v>9709224350.6599998</v>
      </c>
    </row>
    <row r="445" spans="1:7">
      <c r="A445">
        <v>437</v>
      </c>
      <c r="B445">
        <v>299</v>
      </c>
      <c r="C445" t="s">
        <v>583</v>
      </c>
      <c r="D445" s="387">
        <v>10724936483.209999</v>
      </c>
      <c r="E445" s="387">
        <v>236093833781.54999</v>
      </c>
      <c r="F445" s="387">
        <v>234004690647.44</v>
      </c>
      <c r="G445" s="387">
        <v>12814079617.32</v>
      </c>
    </row>
    <row r="446" spans="1:7">
      <c r="A446">
        <v>438</v>
      </c>
      <c r="B446">
        <v>29991</v>
      </c>
      <c r="C446" t="s">
        <v>584</v>
      </c>
      <c r="D446">
        <v>0</v>
      </c>
      <c r="E446" s="387">
        <v>17598562.850000001</v>
      </c>
      <c r="F446" s="387">
        <v>17598562.850000001</v>
      </c>
      <c r="G446">
        <v>0</v>
      </c>
    </row>
    <row r="447" spans="1:7">
      <c r="A447">
        <v>439</v>
      </c>
      <c r="B447">
        <v>29992</v>
      </c>
      <c r="C447" t="s">
        <v>585</v>
      </c>
      <c r="D447">
        <v>0</v>
      </c>
      <c r="E447" s="387">
        <v>11136894.9</v>
      </c>
      <c r="F447" s="387">
        <v>11136894.9</v>
      </c>
      <c r="G447">
        <v>0</v>
      </c>
    </row>
    <row r="448" spans="1:7">
      <c r="A448">
        <v>440</v>
      </c>
      <c r="B448">
        <v>29993</v>
      </c>
      <c r="C448" t="s">
        <v>586</v>
      </c>
      <c r="D448">
        <v>0</v>
      </c>
      <c r="E448" s="387">
        <v>7828328.6600000001</v>
      </c>
      <c r="F448" s="387">
        <v>7828328.6600000001</v>
      </c>
      <c r="G448">
        <v>0</v>
      </c>
    </row>
    <row r="449" spans="1:7">
      <c r="A449">
        <v>441</v>
      </c>
      <c r="B449">
        <v>29995</v>
      </c>
      <c r="C449" t="s">
        <v>587</v>
      </c>
      <c r="D449">
        <v>0</v>
      </c>
      <c r="E449" s="387">
        <v>3629652973.48</v>
      </c>
      <c r="F449" s="387">
        <v>3629652973.48</v>
      </c>
      <c r="G449">
        <v>0</v>
      </c>
    </row>
    <row r="450" spans="1:7">
      <c r="A450">
        <v>442</v>
      </c>
      <c r="B450">
        <v>29996</v>
      </c>
      <c r="C450" t="s">
        <v>588</v>
      </c>
      <c r="D450" s="387">
        <v>7621588401.8699999</v>
      </c>
      <c r="E450" s="387">
        <v>232426109836.34</v>
      </c>
      <c r="F450" s="387">
        <v>230337865280.54999</v>
      </c>
      <c r="G450" s="387">
        <v>9709832957.6599998</v>
      </c>
    </row>
    <row r="451" spans="1:7">
      <c r="A451">
        <v>443</v>
      </c>
      <c r="B451">
        <v>29998</v>
      </c>
      <c r="C451" t="s">
        <v>589</v>
      </c>
      <c r="D451" s="387">
        <v>-1507185.32</v>
      </c>
      <c r="E451" s="387">
        <v>1507185.32</v>
      </c>
      <c r="F451" s="387">
        <v>608607</v>
      </c>
      <c r="G451" s="387">
        <v>-608607</v>
      </c>
    </row>
    <row r="452" spans="1:7">
      <c r="A452">
        <v>444</v>
      </c>
      <c r="B452">
        <v>31</v>
      </c>
      <c r="C452" t="s">
        <v>590</v>
      </c>
      <c r="D452" s="387">
        <v>-10870818452.98</v>
      </c>
      <c r="E452">
        <v>0</v>
      </c>
      <c r="F452">
        <v>0</v>
      </c>
      <c r="G452" s="387">
        <v>-10870818452.98</v>
      </c>
    </row>
    <row r="453" spans="1:7">
      <c r="A453">
        <v>445</v>
      </c>
      <c r="B453">
        <v>31200</v>
      </c>
      <c r="C453" t="s">
        <v>591</v>
      </c>
      <c r="D453" s="387">
        <v>-43016437.210000001</v>
      </c>
      <c r="E453">
        <v>0</v>
      </c>
      <c r="F453">
        <v>0</v>
      </c>
      <c r="G453" s="387">
        <v>-43016437.210000001</v>
      </c>
    </row>
    <row r="454" spans="1:7">
      <c r="A454">
        <v>446</v>
      </c>
      <c r="B454">
        <v>31300</v>
      </c>
      <c r="C454" t="s">
        <v>592</v>
      </c>
      <c r="D454" s="387">
        <v>-1928764.81</v>
      </c>
      <c r="E454">
        <v>0</v>
      </c>
      <c r="F454">
        <v>0</v>
      </c>
      <c r="G454" s="387">
        <v>-1928764.81</v>
      </c>
    </row>
    <row r="455" spans="1:7">
      <c r="A455">
        <v>447</v>
      </c>
      <c r="B455">
        <v>31400</v>
      </c>
      <c r="C455" t="s">
        <v>593</v>
      </c>
      <c r="D455" s="387">
        <v>-28066949.789999999</v>
      </c>
      <c r="E455">
        <v>0</v>
      </c>
      <c r="F455">
        <v>0</v>
      </c>
      <c r="G455" s="387">
        <v>-28066949.789999999</v>
      </c>
    </row>
    <row r="456" spans="1:7">
      <c r="A456">
        <v>448</v>
      </c>
      <c r="B456">
        <v>31500</v>
      </c>
      <c r="C456" t="s">
        <v>594</v>
      </c>
      <c r="D456" s="387">
        <v>-2517545450.52</v>
      </c>
      <c r="E456">
        <v>0</v>
      </c>
      <c r="F456">
        <v>0</v>
      </c>
      <c r="G456" s="387">
        <v>-2517545450.52</v>
      </c>
    </row>
    <row r="457" spans="1:7">
      <c r="A457">
        <v>449</v>
      </c>
      <c r="B457">
        <v>31600</v>
      </c>
      <c r="C457" t="s">
        <v>595</v>
      </c>
      <c r="D457" s="387">
        <v>-8038312073.1899996</v>
      </c>
      <c r="E457">
        <v>0</v>
      </c>
      <c r="F457">
        <v>0</v>
      </c>
      <c r="G457" s="387">
        <v>-8038312073.1899996</v>
      </c>
    </row>
    <row r="458" spans="1:7">
      <c r="A458">
        <v>450</v>
      </c>
      <c r="B458">
        <v>31700</v>
      </c>
      <c r="C458" t="s">
        <v>596</v>
      </c>
      <c r="D458" s="387">
        <v>-12488338.26</v>
      </c>
      <c r="E458">
        <v>0</v>
      </c>
      <c r="F458">
        <v>0</v>
      </c>
      <c r="G458" s="387">
        <v>-12488338.26</v>
      </c>
    </row>
    <row r="459" spans="1:7">
      <c r="A459">
        <v>451</v>
      </c>
      <c r="B459">
        <v>31800</v>
      </c>
      <c r="C459" t="s">
        <v>597</v>
      </c>
      <c r="D459" s="387">
        <v>-29261247.48</v>
      </c>
      <c r="E459">
        <v>0</v>
      </c>
      <c r="F459">
        <v>0</v>
      </c>
      <c r="G459" s="387">
        <v>-29261247.48</v>
      </c>
    </row>
    <row r="460" spans="1:7">
      <c r="A460">
        <v>452</v>
      </c>
      <c r="B460">
        <v>31900</v>
      </c>
      <c r="C460" t="s">
        <v>598</v>
      </c>
      <c r="D460" s="387">
        <v>-200199191.72</v>
      </c>
      <c r="E460">
        <v>0</v>
      </c>
      <c r="F460">
        <v>0</v>
      </c>
      <c r="G460" s="387">
        <v>-200199191.72</v>
      </c>
    </row>
    <row r="461" spans="1:7">
      <c r="A461">
        <v>453</v>
      </c>
      <c r="B461">
        <v>32</v>
      </c>
      <c r="C461" t="s">
        <v>599</v>
      </c>
      <c r="D461" s="387">
        <v>10870818452.98</v>
      </c>
      <c r="E461" s="387">
        <v>39802.76</v>
      </c>
      <c r="F461" s="387">
        <v>39802.76</v>
      </c>
      <c r="G461" s="387">
        <v>10870818452.98</v>
      </c>
    </row>
    <row r="462" spans="1:7">
      <c r="A462">
        <v>454</v>
      </c>
      <c r="B462">
        <v>321</v>
      </c>
      <c r="D462">
        <v>0</v>
      </c>
      <c r="E462" s="387">
        <v>39802.76</v>
      </c>
      <c r="F462" s="387">
        <v>39802.76</v>
      </c>
      <c r="G462">
        <v>0</v>
      </c>
    </row>
    <row r="463" spans="1:7">
      <c r="A463">
        <v>455</v>
      </c>
      <c r="B463">
        <v>32100</v>
      </c>
      <c r="C463" t="s">
        <v>600</v>
      </c>
      <c r="D463">
        <v>0</v>
      </c>
      <c r="E463" s="387">
        <v>39802.76</v>
      </c>
      <c r="F463" s="387">
        <v>39802.76</v>
      </c>
      <c r="G463">
        <v>0</v>
      </c>
    </row>
    <row r="464" spans="1:7">
      <c r="A464">
        <v>456</v>
      </c>
      <c r="B464">
        <v>32200</v>
      </c>
      <c r="C464" t="s">
        <v>601</v>
      </c>
      <c r="D464" s="387">
        <v>43016437.210000001</v>
      </c>
      <c r="E464">
        <v>0</v>
      </c>
      <c r="F464">
        <v>0</v>
      </c>
      <c r="G464" s="387">
        <v>43016437.210000001</v>
      </c>
    </row>
    <row r="465" spans="1:7">
      <c r="A465">
        <v>457</v>
      </c>
      <c r="B465">
        <v>32300</v>
      </c>
      <c r="C465" t="s">
        <v>602</v>
      </c>
      <c r="D465" s="387">
        <v>1928764.81</v>
      </c>
      <c r="E465">
        <v>0</v>
      </c>
      <c r="F465">
        <v>0</v>
      </c>
      <c r="G465" s="387">
        <v>1928764.81</v>
      </c>
    </row>
    <row r="466" spans="1:7">
      <c r="A466">
        <v>458</v>
      </c>
      <c r="B466">
        <v>32400</v>
      </c>
      <c r="C466" t="s">
        <v>603</v>
      </c>
      <c r="D466" s="387">
        <v>28066949.789999999</v>
      </c>
      <c r="E466">
        <v>0</v>
      </c>
      <c r="F466">
        <v>0</v>
      </c>
      <c r="G466" s="387">
        <v>28066949.789999999</v>
      </c>
    </row>
    <row r="467" spans="1:7">
      <c r="A467">
        <v>459</v>
      </c>
      <c r="B467">
        <v>32500</v>
      </c>
      <c r="C467" t="s">
        <v>604</v>
      </c>
      <c r="D467" s="387">
        <v>2517545450.52</v>
      </c>
      <c r="E467">
        <v>0</v>
      </c>
      <c r="F467">
        <v>0</v>
      </c>
      <c r="G467" s="387">
        <v>2517545450.52</v>
      </c>
    </row>
    <row r="468" spans="1:7">
      <c r="A468">
        <v>460</v>
      </c>
      <c r="B468">
        <v>32600</v>
      </c>
      <c r="C468" t="s">
        <v>605</v>
      </c>
      <c r="D468" s="387">
        <v>8038312073.1899996</v>
      </c>
      <c r="E468">
        <v>0</v>
      </c>
      <c r="F468">
        <v>0</v>
      </c>
      <c r="G468" s="387">
        <v>8038312073.1899996</v>
      </c>
    </row>
    <row r="469" spans="1:7">
      <c r="A469">
        <v>461</v>
      </c>
      <c r="B469">
        <v>32700</v>
      </c>
      <c r="C469" t="s">
        <v>606</v>
      </c>
      <c r="D469" s="387">
        <v>12488338.26</v>
      </c>
      <c r="E469">
        <v>0</v>
      </c>
      <c r="F469">
        <v>0</v>
      </c>
      <c r="G469" s="387">
        <v>12488338.26</v>
      </c>
    </row>
    <row r="470" spans="1:7">
      <c r="A470">
        <v>462</v>
      </c>
      <c r="B470">
        <v>32800</v>
      </c>
      <c r="C470" t="s">
        <v>607</v>
      </c>
      <c r="D470" s="387">
        <v>29261247.48</v>
      </c>
      <c r="E470">
        <v>0</v>
      </c>
      <c r="F470">
        <v>0</v>
      </c>
      <c r="G470" s="387">
        <v>29261247.48</v>
      </c>
    </row>
    <row r="471" spans="1:7">
      <c r="A471">
        <v>463</v>
      </c>
      <c r="B471">
        <v>32900</v>
      </c>
      <c r="C471" t="s">
        <v>608</v>
      </c>
      <c r="D471" s="387">
        <v>200199191.72</v>
      </c>
      <c r="E471">
        <v>0</v>
      </c>
      <c r="F471">
        <v>0</v>
      </c>
      <c r="G471" s="387">
        <v>200199191.72</v>
      </c>
    </row>
    <row r="472" spans="1:7">
      <c r="A472">
        <v>464</v>
      </c>
      <c r="B472">
        <v>39</v>
      </c>
      <c r="C472" t="s">
        <v>609</v>
      </c>
      <c r="D472">
        <v>0</v>
      </c>
      <c r="E472" s="387">
        <v>489175280551.66998</v>
      </c>
      <c r="F472" s="387">
        <v>489175280551.66998</v>
      </c>
      <c r="G472">
        <v>0</v>
      </c>
    </row>
    <row r="473" spans="1:7">
      <c r="A473">
        <v>465</v>
      </c>
      <c r="B473">
        <v>391</v>
      </c>
      <c r="C473" t="s">
        <v>610</v>
      </c>
      <c r="D473">
        <v>0</v>
      </c>
      <c r="E473">
        <v>70.8</v>
      </c>
      <c r="F473">
        <v>70.8</v>
      </c>
      <c r="G473">
        <v>0</v>
      </c>
    </row>
    <row r="474" spans="1:7">
      <c r="A474">
        <v>466</v>
      </c>
      <c r="B474">
        <v>39101</v>
      </c>
      <c r="C474" t="s">
        <v>611</v>
      </c>
      <c r="D474">
        <v>0</v>
      </c>
      <c r="E474">
        <v>70.8</v>
      </c>
      <c r="F474">
        <v>70.8</v>
      </c>
      <c r="G474">
        <v>0</v>
      </c>
    </row>
    <row r="475" spans="1:7">
      <c r="A475">
        <v>467</v>
      </c>
      <c r="B475">
        <v>392</v>
      </c>
      <c r="C475" t="s">
        <v>610</v>
      </c>
      <c r="D475">
        <v>0</v>
      </c>
      <c r="E475" s="387">
        <v>5388538.1299999999</v>
      </c>
      <c r="F475" s="387">
        <v>5388538.1299999999</v>
      </c>
      <c r="G475">
        <v>0</v>
      </c>
    </row>
    <row r="476" spans="1:7">
      <c r="A476">
        <v>468</v>
      </c>
      <c r="B476">
        <v>39200</v>
      </c>
      <c r="C476" t="s">
        <v>612</v>
      </c>
      <c r="D476">
        <v>0</v>
      </c>
      <c r="E476" s="387">
        <v>3042993.13</v>
      </c>
      <c r="F476" s="387">
        <v>3042993.13</v>
      </c>
      <c r="G476">
        <v>0</v>
      </c>
    </row>
    <row r="477" spans="1:7">
      <c r="A477">
        <v>469</v>
      </c>
      <c r="B477">
        <v>39233</v>
      </c>
      <c r="C477" t="s">
        <v>613</v>
      </c>
      <c r="D477">
        <v>0</v>
      </c>
      <c r="E477" s="387">
        <v>2345545</v>
      </c>
      <c r="F477" s="387">
        <v>2345545</v>
      </c>
      <c r="G477">
        <v>0</v>
      </c>
    </row>
    <row r="478" spans="1:7">
      <c r="A478">
        <v>470</v>
      </c>
      <c r="B478">
        <v>393</v>
      </c>
      <c r="C478" t="s">
        <v>610</v>
      </c>
      <c r="D478">
        <v>0</v>
      </c>
      <c r="E478" s="387">
        <v>671463.03</v>
      </c>
      <c r="F478" s="387">
        <v>671463.03</v>
      </c>
      <c r="G478">
        <v>0</v>
      </c>
    </row>
    <row r="479" spans="1:7">
      <c r="A479">
        <v>471</v>
      </c>
      <c r="B479">
        <v>39314</v>
      </c>
      <c r="C479" t="s">
        <v>614</v>
      </c>
      <c r="D479">
        <v>0</v>
      </c>
      <c r="E479" s="387">
        <v>311963.03000000003</v>
      </c>
      <c r="F479" s="387">
        <v>311963.03000000003</v>
      </c>
      <c r="G479">
        <v>0</v>
      </c>
    </row>
    <row r="480" spans="1:7">
      <c r="A480">
        <v>472</v>
      </c>
      <c r="B480">
        <v>39395</v>
      </c>
      <c r="C480" t="s">
        <v>615</v>
      </c>
      <c r="D480">
        <v>0</v>
      </c>
      <c r="E480" s="387">
        <v>359500</v>
      </c>
      <c r="F480" s="387">
        <v>359500</v>
      </c>
      <c r="G480">
        <v>0</v>
      </c>
    </row>
    <row r="481" spans="1:7">
      <c r="A481">
        <v>473</v>
      </c>
      <c r="B481">
        <v>394</v>
      </c>
      <c r="C481" t="s">
        <v>610</v>
      </c>
      <c r="D481" s="387">
        <v>3869683050.5100002</v>
      </c>
      <c r="E481" s="387">
        <v>161262505650.98001</v>
      </c>
      <c r="F481" s="387">
        <v>149711834520.95001</v>
      </c>
      <c r="G481" s="387">
        <v>15420354180.540001</v>
      </c>
    </row>
    <row r="482" spans="1:7">
      <c r="A482">
        <v>474</v>
      </c>
      <c r="B482">
        <v>39400</v>
      </c>
      <c r="C482" t="s">
        <v>616</v>
      </c>
      <c r="D482" s="387">
        <v>81562978.150000006</v>
      </c>
      <c r="E482" s="387">
        <v>4126505090.0599999</v>
      </c>
      <c r="F482" s="387">
        <v>7381598207.29</v>
      </c>
      <c r="G482" s="387">
        <v>-3173530139.0799999</v>
      </c>
    </row>
    <row r="483" spans="1:7">
      <c r="A483">
        <v>475</v>
      </c>
      <c r="B483">
        <v>39401</v>
      </c>
      <c r="C483" t="s">
        <v>617</v>
      </c>
      <c r="D483" s="387">
        <v>-9705417280.1100006</v>
      </c>
      <c r="E483" s="387">
        <v>16094567119.1</v>
      </c>
      <c r="F483" s="387">
        <v>11260317780.440001</v>
      </c>
      <c r="G483" s="387">
        <v>-4871167941.4499998</v>
      </c>
    </row>
    <row r="484" spans="1:7">
      <c r="A484">
        <v>476</v>
      </c>
      <c r="B484">
        <v>39402</v>
      </c>
      <c r="C484" t="s">
        <v>618</v>
      </c>
      <c r="D484" s="387">
        <v>881340920.38999999</v>
      </c>
      <c r="E484" s="387">
        <v>4182172133.21</v>
      </c>
      <c r="F484" s="387">
        <v>3807699730.9499998</v>
      </c>
      <c r="G484" s="387">
        <v>1255813322.6500001</v>
      </c>
    </row>
    <row r="485" spans="1:7">
      <c r="A485">
        <v>477</v>
      </c>
      <c r="B485">
        <v>39403</v>
      </c>
      <c r="C485" t="s">
        <v>619</v>
      </c>
      <c r="D485" s="387">
        <v>-19891581042.889999</v>
      </c>
      <c r="E485" s="387">
        <v>25359202699.259998</v>
      </c>
      <c r="F485" s="387">
        <v>20311906886.950001</v>
      </c>
      <c r="G485" s="387">
        <v>-14844285230.58</v>
      </c>
    </row>
    <row r="486" spans="1:7">
      <c r="A486">
        <v>478</v>
      </c>
      <c r="B486">
        <v>39404</v>
      </c>
      <c r="C486" t="s">
        <v>620</v>
      </c>
      <c r="D486" s="387">
        <v>3125706190.27</v>
      </c>
      <c r="E486" s="387">
        <v>2102792655.3800001</v>
      </c>
      <c r="F486" s="387">
        <v>2456370817.0900002</v>
      </c>
      <c r="G486" s="387">
        <v>2772128028.5599999</v>
      </c>
    </row>
    <row r="487" spans="1:7">
      <c r="A487">
        <v>479</v>
      </c>
      <c r="B487">
        <v>39408</v>
      </c>
      <c r="C487" t="s">
        <v>621</v>
      </c>
      <c r="D487">
        <v>0</v>
      </c>
      <c r="E487" s="387">
        <v>3277770</v>
      </c>
      <c r="F487" s="387">
        <v>3277770</v>
      </c>
      <c r="G487">
        <v>0</v>
      </c>
    </row>
    <row r="488" spans="1:7">
      <c r="A488">
        <v>480</v>
      </c>
      <c r="B488">
        <v>39410</v>
      </c>
      <c r="C488" t="s">
        <v>622</v>
      </c>
      <c r="D488" s="387">
        <v>84984236.569999993</v>
      </c>
      <c r="E488" s="387">
        <v>7451429532.5900002</v>
      </c>
      <c r="F488" s="387">
        <v>6440771882.1899996</v>
      </c>
      <c r="G488" s="387">
        <v>1095641886.97</v>
      </c>
    </row>
    <row r="489" spans="1:7">
      <c r="A489">
        <v>481</v>
      </c>
      <c r="B489">
        <v>39411</v>
      </c>
      <c r="C489" t="s">
        <v>623</v>
      </c>
      <c r="D489" s="387">
        <v>-14743868109.91</v>
      </c>
      <c r="E489" s="387">
        <v>18746662843.549999</v>
      </c>
      <c r="F489" s="387">
        <v>16944039273.24</v>
      </c>
      <c r="G489" s="387">
        <v>-12941244539.6</v>
      </c>
    </row>
    <row r="490" spans="1:7">
      <c r="A490">
        <v>482</v>
      </c>
      <c r="B490">
        <v>39412</v>
      </c>
      <c r="C490" t="s">
        <v>624</v>
      </c>
      <c r="D490" s="387">
        <v>252307718.94999999</v>
      </c>
      <c r="E490" s="387">
        <v>2709163704.6799998</v>
      </c>
      <c r="F490" s="387">
        <v>2442296740.3899999</v>
      </c>
      <c r="G490" s="387">
        <v>519174683.24000001</v>
      </c>
    </row>
    <row r="491" spans="1:7">
      <c r="A491">
        <v>483</v>
      </c>
      <c r="B491">
        <v>39413</v>
      </c>
      <c r="C491" t="s">
        <v>625</v>
      </c>
      <c r="D491" s="387">
        <v>-14796503979.84</v>
      </c>
      <c r="E491" s="387">
        <v>16577479188.5</v>
      </c>
      <c r="F491" s="387">
        <v>17126862900.83</v>
      </c>
      <c r="G491" s="387">
        <v>-15345887692.17</v>
      </c>
    </row>
    <row r="492" spans="1:7">
      <c r="A492">
        <v>484</v>
      </c>
      <c r="B492">
        <v>39414</v>
      </c>
      <c r="C492" t="s">
        <v>626</v>
      </c>
      <c r="D492" s="387">
        <v>2373559747.2800002</v>
      </c>
      <c r="E492" s="387">
        <v>2697850657.8299999</v>
      </c>
      <c r="F492" s="387">
        <v>1858465994.5899999</v>
      </c>
      <c r="G492" s="387">
        <v>3212944410.52</v>
      </c>
    </row>
    <row r="493" spans="1:7">
      <c r="A493">
        <v>485</v>
      </c>
      <c r="B493">
        <v>39415</v>
      </c>
      <c r="C493" t="s">
        <v>627</v>
      </c>
      <c r="D493" s="387">
        <v>-1027549185.5</v>
      </c>
      <c r="E493" s="387">
        <v>1868327979.3599999</v>
      </c>
      <c r="F493" s="387">
        <v>1892455157.3800001</v>
      </c>
      <c r="G493" s="387">
        <v>-1051676363.52</v>
      </c>
    </row>
    <row r="494" spans="1:7">
      <c r="A494">
        <v>486</v>
      </c>
      <c r="B494">
        <v>39425</v>
      </c>
      <c r="C494" t="s">
        <v>628</v>
      </c>
      <c r="D494">
        <v>0</v>
      </c>
      <c r="E494" s="387">
        <v>6000</v>
      </c>
      <c r="F494" s="387">
        <v>6000</v>
      </c>
      <c r="G494">
        <v>0</v>
      </c>
    </row>
    <row r="495" spans="1:7">
      <c r="A495">
        <v>487</v>
      </c>
      <c r="B495">
        <v>39482</v>
      </c>
      <c r="C495" t="s">
        <v>629</v>
      </c>
      <c r="D495">
        <v>0</v>
      </c>
      <c r="E495">
        <v>526.32000000000005</v>
      </c>
      <c r="F495">
        <v>526.32000000000005</v>
      </c>
      <c r="G495">
        <v>0</v>
      </c>
    </row>
    <row r="496" spans="1:7">
      <c r="A496">
        <v>488</v>
      </c>
      <c r="B496">
        <v>39490</v>
      </c>
      <c r="C496" t="s">
        <v>630</v>
      </c>
      <c r="D496" s="387">
        <v>80469928.260000005</v>
      </c>
      <c r="E496" s="387">
        <v>24239631705.84</v>
      </c>
      <c r="F496" s="387">
        <v>22858203587.27</v>
      </c>
      <c r="G496" s="387">
        <v>1461898046.8299999</v>
      </c>
    </row>
    <row r="497" spans="1:7">
      <c r="A497">
        <v>489</v>
      </c>
      <c r="B497">
        <v>39491</v>
      </c>
      <c r="C497" t="s">
        <v>631</v>
      </c>
      <c r="D497" s="387">
        <v>557672141.42999995</v>
      </c>
      <c r="E497" s="387">
        <v>2869413622.0900002</v>
      </c>
      <c r="F497" s="387">
        <v>3073045124.7800002</v>
      </c>
      <c r="G497" s="387">
        <v>354040638.74000001</v>
      </c>
    </row>
    <row r="498" spans="1:7">
      <c r="A498">
        <v>490</v>
      </c>
      <c r="B498">
        <v>39492</v>
      </c>
      <c r="C498" t="s">
        <v>632</v>
      </c>
      <c r="D498" s="387">
        <v>1406180435.55</v>
      </c>
      <c r="E498" s="387">
        <v>2924711054.7199998</v>
      </c>
      <c r="F498" s="387">
        <v>2958766226.2600002</v>
      </c>
      <c r="G498" s="387">
        <v>1372125264.01</v>
      </c>
    </row>
    <row r="499" spans="1:7">
      <c r="A499">
        <v>491</v>
      </c>
      <c r="B499">
        <v>39493</v>
      </c>
      <c r="C499" t="s">
        <v>633</v>
      </c>
      <c r="D499" s="387">
        <v>-1600714830.25</v>
      </c>
      <c r="E499" s="387">
        <v>6270982219.1899996</v>
      </c>
      <c r="F499" s="387">
        <v>6268408787.1300001</v>
      </c>
      <c r="G499" s="387">
        <v>-1598141398.1900001</v>
      </c>
    </row>
    <row r="500" spans="1:7">
      <c r="A500">
        <v>492</v>
      </c>
      <c r="B500">
        <v>39494</v>
      </c>
      <c r="C500" t="s">
        <v>634</v>
      </c>
      <c r="D500" s="387">
        <v>-1120564564.9000001</v>
      </c>
      <c r="E500" s="387">
        <v>2548813478.4299998</v>
      </c>
      <c r="F500" s="387">
        <v>2444742889.3400002</v>
      </c>
      <c r="G500" s="387">
        <v>-1016493975.8099999</v>
      </c>
    </row>
    <row r="501" spans="1:7">
      <c r="A501">
        <v>493</v>
      </c>
      <c r="B501">
        <v>39495</v>
      </c>
      <c r="C501" t="s">
        <v>635</v>
      </c>
      <c r="D501" s="387">
        <v>-15522570217.59</v>
      </c>
      <c r="E501" s="387">
        <v>18080248045.849998</v>
      </c>
      <c r="F501" s="387">
        <v>17590760886.990002</v>
      </c>
      <c r="G501" s="387">
        <v>-15033083058.73</v>
      </c>
    </row>
    <row r="502" spans="1:7">
      <c r="A502">
        <v>494</v>
      </c>
      <c r="B502">
        <v>39496</v>
      </c>
      <c r="C502" t="s">
        <v>636</v>
      </c>
      <c r="D502" s="387">
        <v>-1200518266.05</v>
      </c>
      <c r="E502" s="387">
        <v>2409267625.02</v>
      </c>
      <c r="F502" s="387">
        <v>2591837351.52</v>
      </c>
      <c r="G502" s="387">
        <v>-1383087992.55</v>
      </c>
    </row>
    <row r="503" spans="1:7">
      <c r="A503">
        <v>495</v>
      </c>
      <c r="B503">
        <v>395</v>
      </c>
      <c r="C503" t="s">
        <v>610</v>
      </c>
      <c r="D503">
        <v>0</v>
      </c>
      <c r="E503" s="387">
        <v>15296</v>
      </c>
      <c r="F503" s="387">
        <v>15296</v>
      </c>
      <c r="G503">
        <v>0</v>
      </c>
    </row>
    <row r="504" spans="1:7">
      <c r="A504">
        <v>496</v>
      </c>
      <c r="B504">
        <v>39524</v>
      </c>
      <c r="C504" t="s">
        <v>637</v>
      </c>
      <c r="D504">
        <v>0</v>
      </c>
      <c r="E504" s="387">
        <v>13250</v>
      </c>
      <c r="F504" s="387">
        <v>13250</v>
      </c>
      <c r="G504">
        <v>0</v>
      </c>
    </row>
    <row r="505" spans="1:7">
      <c r="A505">
        <v>497</v>
      </c>
      <c r="B505">
        <v>39584</v>
      </c>
      <c r="C505" t="s">
        <v>638</v>
      </c>
      <c r="D505">
        <v>0</v>
      </c>
      <c r="E505" s="387">
        <v>2046</v>
      </c>
      <c r="F505" s="387">
        <v>2046</v>
      </c>
      <c r="G505">
        <v>0</v>
      </c>
    </row>
    <row r="506" spans="1:7">
      <c r="A506">
        <v>498</v>
      </c>
      <c r="B506">
        <v>396</v>
      </c>
      <c r="C506" t="s">
        <v>610</v>
      </c>
      <c r="D506" s="387">
        <v>-27269164856.439999</v>
      </c>
      <c r="E506" s="387">
        <v>114018745821.42999</v>
      </c>
      <c r="F506" s="387">
        <v>126195155707.05</v>
      </c>
      <c r="G506" s="387">
        <v>-39445574742.059998</v>
      </c>
    </row>
    <row r="507" spans="1:7">
      <c r="A507">
        <v>499</v>
      </c>
      <c r="B507">
        <v>39600</v>
      </c>
      <c r="C507" t="s">
        <v>639</v>
      </c>
      <c r="D507" s="387">
        <v>249070607.72999999</v>
      </c>
      <c r="E507" s="387">
        <v>45454051857</v>
      </c>
      <c r="F507" s="387">
        <v>28907930706.25</v>
      </c>
      <c r="G507" s="387">
        <v>16795191758.48</v>
      </c>
    </row>
    <row r="508" spans="1:7">
      <c r="A508">
        <v>500</v>
      </c>
      <c r="B508">
        <v>39601</v>
      </c>
      <c r="C508" t="s">
        <v>640</v>
      </c>
      <c r="D508" s="387">
        <v>-4357674919.2399998</v>
      </c>
      <c r="E508" s="387">
        <v>10693831681.709999</v>
      </c>
      <c r="F508" s="387">
        <v>8930795914.6499996</v>
      </c>
      <c r="G508" s="387">
        <v>-2594639152.1799998</v>
      </c>
    </row>
    <row r="509" spans="1:7">
      <c r="A509">
        <v>501</v>
      </c>
      <c r="B509">
        <v>39602</v>
      </c>
      <c r="C509" t="s">
        <v>641</v>
      </c>
      <c r="D509" s="387">
        <v>-18233317510.799999</v>
      </c>
      <c r="E509" s="387">
        <v>37216059305.07</v>
      </c>
      <c r="F509" s="387">
        <v>31619217219.689999</v>
      </c>
      <c r="G509" s="387">
        <v>-12636475425.42</v>
      </c>
    </row>
    <row r="510" spans="1:7">
      <c r="A510">
        <v>502</v>
      </c>
      <c r="B510">
        <v>39603</v>
      </c>
      <c r="C510" t="s">
        <v>642</v>
      </c>
      <c r="D510" s="387">
        <v>-4269948580.9200001</v>
      </c>
      <c r="E510" s="387">
        <v>10440992621.93</v>
      </c>
      <c r="F510" s="387">
        <v>10467207765.709999</v>
      </c>
      <c r="G510" s="387">
        <v>-4296163724.6999998</v>
      </c>
    </row>
    <row r="511" spans="1:7">
      <c r="A511">
        <v>503</v>
      </c>
      <c r="B511">
        <v>39604</v>
      </c>
      <c r="C511" t="s">
        <v>643</v>
      </c>
      <c r="D511" s="387">
        <v>11649071440.799999</v>
      </c>
      <c r="E511" s="387">
        <v>10212265047.68</v>
      </c>
      <c r="F511" s="387">
        <v>46268458792.709999</v>
      </c>
      <c r="G511" s="387">
        <v>-24407122304.23</v>
      </c>
    </row>
    <row r="512" spans="1:7">
      <c r="A512">
        <v>504</v>
      </c>
      <c r="B512">
        <v>39670</v>
      </c>
      <c r="C512" t="s">
        <v>644</v>
      </c>
      <c r="D512">
        <v>0</v>
      </c>
      <c r="E512" s="387">
        <v>1545308.04</v>
      </c>
      <c r="F512" s="387">
        <v>1545308.04</v>
      </c>
      <c r="G512">
        <v>0</v>
      </c>
    </row>
    <row r="513" spans="1:7">
      <c r="A513">
        <v>505</v>
      </c>
      <c r="B513">
        <v>397</v>
      </c>
      <c r="C513" t="s">
        <v>610</v>
      </c>
      <c r="D513" s="387">
        <v>-398834451.88999999</v>
      </c>
      <c r="E513" s="387">
        <v>2665036509.6300001</v>
      </c>
      <c r="F513" s="387">
        <v>1655558375.3800001</v>
      </c>
      <c r="G513" s="387">
        <v>610643682.36000001</v>
      </c>
    </row>
    <row r="514" spans="1:7">
      <c r="A514">
        <v>506</v>
      </c>
      <c r="B514">
        <v>39700</v>
      </c>
      <c r="C514" t="s">
        <v>645</v>
      </c>
      <c r="D514" s="387">
        <v>319964634.79000002</v>
      </c>
      <c r="E514" s="387">
        <v>1879497153.8699999</v>
      </c>
      <c r="F514" s="387">
        <v>1062341754.0700001</v>
      </c>
      <c r="G514" s="387">
        <v>1137120034.5899999</v>
      </c>
    </row>
    <row r="515" spans="1:7">
      <c r="A515">
        <v>507</v>
      </c>
      <c r="B515">
        <v>39760</v>
      </c>
      <c r="C515" t="s">
        <v>646</v>
      </c>
      <c r="D515" s="387">
        <v>201843141.49000001</v>
      </c>
      <c r="E515" s="387">
        <v>785539355.75999999</v>
      </c>
      <c r="F515" s="387">
        <v>593216621.30999994</v>
      </c>
      <c r="G515" s="387">
        <v>394165875.94</v>
      </c>
    </row>
    <row r="516" spans="1:7">
      <c r="A516">
        <v>508</v>
      </c>
      <c r="B516">
        <v>399</v>
      </c>
      <c r="C516" t="s">
        <v>610</v>
      </c>
      <c r="D516" s="387">
        <v>25164131487.169998</v>
      </c>
      <c r="E516" s="387">
        <v>211222917201.67001</v>
      </c>
      <c r="F516" s="387">
        <v>211606656580.32999</v>
      </c>
      <c r="G516" s="387">
        <v>24780392108.509998</v>
      </c>
    </row>
    <row r="517" spans="1:7">
      <c r="A517">
        <v>509</v>
      </c>
      <c r="B517">
        <v>39904</v>
      </c>
      <c r="C517" t="s">
        <v>647</v>
      </c>
      <c r="D517">
        <v>0</v>
      </c>
      <c r="E517" s="387">
        <v>146130293.13</v>
      </c>
      <c r="F517" s="387">
        <v>146130293.13</v>
      </c>
      <c r="G517">
        <v>0</v>
      </c>
    </row>
    <row r="518" spans="1:7">
      <c r="A518">
        <v>510</v>
      </c>
      <c r="B518">
        <v>39994</v>
      </c>
      <c r="C518" t="s">
        <v>648</v>
      </c>
      <c r="D518" s="387">
        <v>85206494366.339996</v>
      </c>
      <c r="E518" s="387">
        <v>211076786908.54001</v>
      </c>
      <c r="F518" s="387">
        <v>211460526287.20001</v>
      </c>
      <c r="G518" s="387">
        <v>84822754987.679993</v>
      </c>
    </row>
    <row r="519" spans="1:7">
      <c r="A519">
        <v>511</v>
      </c>
      <c r="B519">
        <v>41</v>
      </c>
      <c r="C519" t="s">
        <v>649</v>
      </c>
      <c r="D519" s="387">
        <v>-40414730</v>
      </c>
      <c r="E519" s="387">
        <v>37463358</v>
      </c>
      <c r="F519" s="387">
        <v>40178631.5</v>
      </c>
      <c r="G519" s="387">
        <v>-43130003.5</v>
      </c>
    </row>
    <row r="520" spans="1:7">
      <c r="A520">
        <v>512</v>
      </c>
      <c r="B520">
        <v>411</v>
      </c>
      <c r="C520" t="s">
        <v>650</v>
      </c>
      <c r="D520" s="387">
        <v>-36967569</v>
      </c>
      <c r="E520" s="387">
        <v>36967569</v>
      </c>
      <c r="F520" s="387">
        <v>32770549</v>
      </c>
      <c r="G520" s="387">
        <v>-32770549</v>
      </c>
    </row>
    <row r="521" spans="1:7">
      <c r="A521">
        <v>513</v>
      </c>
      <c r="B521">
        <v>41145</v>
      </c>
      <c r="C521" t="s">
        <v>651</v>
      </c>
      <c r="D521" s="387">
        <v>-28450314</v>
      </c>
      <c r="E521" s="387">
        <v>28450314</v>
      </c>
      <c r="F521" s="387">
        <v>17412540</v>
      </c>
      <c r="G521" s="387">
        <v>-17412540</v>
      </c>
    </row>
    <row r="522" spans="1:7">
      <c r="A522">
        <v>514</v>
      </c>
      <c r="B522">
        <v>41146</v>
      </c>
      <c r="C522" t="s">
        <v>652</v>
      </c>
      <c r="D522" s="387">
        <v>-8517255</v>
      </c>
      <c r="E522" s="387">
        <v>8517255</v>
      </c>
      <c r="F522" s="387">
        <v>15358009</v>
      </c>
      <c r="G522" s="387">
        <v>-15358009</v>
      </c>
    </row>
    <row r="523" spans="1:7">
      <c r="A523">
        <v>515</v>
      </c>
      <c r="B523">
        <v>413</v>
      </c>
      <c r="C523" t="s">
        <v>653</v>
      </c>
      <c r="D523" s="387">
        <v>-3447161</v>
      </c>
      <c r="E523" s="387">
        <v>495789</v>
      </c>
      <c r="F523" s="387">
        <v>7408082.5</v>
      </c>
      <c r="G523" s="387">
        <v>-10359454.5</v>
      </c>
    </row>
    <row r="524" spans="1:7">
      <c r="A524">
        <v>516</v>
      </c>
      <c r="B524">
        <v>41306</v>
      </c>
      <c r="C524" t="s">
        <v>654</v>
      </c>
      <c r="D524" s="387">
        <v>-3447161</v>
      </c>
      <c r="E524" s="387">
        <v>495789</v>
      </c>
      <c r="F524" s="387">
        <v>7408082.5</v>
      </c>
      <c r="G524" s="387">
        <v>-10359454.5</v>
      </c>
    </row>
    <row r="525" spans="1:7">
      <c r="A525">
        <v>517</v>
      </c>
      <c r="B525">
        <v>42</v>
      </c>
      <c r="C525" t="s">
        <v>655</v>
      </c>
      <c r="D525" s="387">
        <v>-254367852.63999999</v>
      </c>
      <c r="E525" s="387">
        <v>277023906.39999998</v>
      </c>
      <c r="F525" s="387">
        <v>311472155.04000002</v>
      </c>
      <c r="G525" s="387">
        <v>-288816101.27999997</v>
      </c>
    </row>
    <row r="526" spans="1:7">
      <c r="A526">
        <v>518</v>
      </c>
      <c r="B526">
        <v>421</v>
      </c>
      <c r="C526" t="s">
        <v>656</v>
      </c>
      <c r="D526">
        <v>0</v>
      </c>
      <c r="E526" s="387">
        <v>19377072.02</v>
      </c>
      <c r="F526" s="387">
        <v>19377072.02</v>
      </c>
      <c r="G526">
        <v>0</v>
      </c>
    </row>
    <row r="527" spans="1:7">
      <c r="A527">
        <v>519</v>
      </c>
      <c r="B527">
        <v>42100</v>
      </c>
      <c r="C527" t="s">
        <v>656</v>
      </c>
      <c r="D527">
        <v>0</v>
      </c>
      <c r="E527" s="387">
        <v>1000</v>
      </c>
      <c r="F527" s="387">
        <v>1000</v>
      </c>
      <c r="G527">
        <v>0</v>
      </c>
    </row>
    <row r="528" spans="1:7">
      <c r="A528">
        <v>520</v>
      </c>
      <c r="B528">
        <v>42102</v>
      </c>
      <c r="C528" t="s">
        <v>657</v>
      </c>
      <c r="D528">
        <v>0</v>
      </c>
      <c r="E528" s="387">
        <v>5965228.9800000004</v>
      </c>
      <c r="F528" s="387">
        <v>5965228.9800000004</v>
      </c>
      <c r="G528">
        <v>0</v>
      </c>
    </row>
    <row r="529" spans="1:7">
      <c r="A529">
        <v>521</v>
      </c>
      <c r="B529">
        <v>42103</v>
      </c>
      <c r="C529" t="s">
        <v>658</v>
      </c>
      <c r="D529">
        <v>0</v>
      </c>
      <c r="E529" s="387">
        <v>13410843.039999999</v>
      </c>
      <c r="F529" s="387">
        <v>13410843.039999999</v>
      </c>
      <c r="G529">
        <v>0</v>
      </c>
    </row>
    <row r="530" spans="1:7">
      <c r="A530">
        <v>522</v>
      </c>
      <c r="B530">
        <v>426</v>
      </c>
      <c r="C530" t="s">
        <v>659</v>
      </c>
      <c r="D530" s="387">
        <v>-254367852.63999999</v>
      </c>
      <c r="E530" s="387">
        <v>257646834.38</v>
      </c>
      <c r="F530" s="387">
        <v>292095083.01999998</v>
      </c>
      <c r="G530" s="387">
        <v>-288816101.27999997</v>
      </c>
    </row>
    <row r="531" spans="1:7">
      <c r="A531">
        <v>523</v>
      </c>
      <c r="B531">
        <v>42600</v>
      </c>
      <c r="C531" t="s">
        <v>659</v>
      </c>
      <c r="D531" s="387">
        <v>-254367852.63999999</v>
      </c>
      <c r="E531" s="387">
        <v>257646834.38</v>
      </c>
      <c r="F531" s="387">
        <v>292095083.01999998</v>
      </c>
      <c r="G531" s="387">
        <v>-288816101.27999997</v>
      </c>
    </row>
    <row r="532" spans="1:7">
      <c r="A532">
        <v>524</v>
      </c>
      <c r="B532">
        <v>43</v>
      </c>
      <c r="C532" t="s">
        <v>660</v>
      </c>
      <c r="D532" s="387">
        <v>-366665329.33999997</v>
      </c>
      <c r="E532" s="387">
        <v>8265181715.4799995</v>
      </c>
      <c r="F532" s="387">
        <v>8258326485.21</v>
      </c>
      <c r="G532" s="387">
        <v>-359810099.06999999</v>
      </c>
    </row>
    <row r="533" spans="1:7">
      <c r="A533">
        <v>525</v>
      </c>
      <c r="B533">
        <v>431</v>
      </c>
      <c r="C533" t="s">
        <v>661</v>
      </c>
      <c r="D533" s="387">
        <v>-283840382.81999999</v>
      </c>
      <c r="E533" s="387">
        <v>3932499995.6500001</v>
      </c>
      <c r="F533" s="387">
        <v>3939586493.25</v>
      </c>
      <c r="G533" s="387">
        <v>-290926880.42000002</v>
      </c>
    </row>
    <row r="534" spans="1:7">
      <c r="A534">
        <v>526</v>
      </c>
      <c r="B534">
        <v>43100</v>
      </c>
      <c r="C534" t="s">
        <v>661</v>
      </c>
      <c r="D534" s="387">
        <v>-283840382.81999999</v>
      </c>
      <c r="E534" s="387">
        <v>3931795581.6500001</v>
      </c>
      <c r="F534" s="387">
        <v>3922283990.3400002</v>
      </c>
      <c r="G534" s="387">
        <v>-274328791.50999999</v>
      </c>
    </row>
    <row r="535" spans="1:7">
      <c r="A535">
        <v>527</v>
      </c>
      <c r="B535">
        <v>43102</v>
      </c>
      <c r="C535" t="s">
        <v>662</v>
      </c>
      <c r="D535">
        <v>0</v>
      </c>
      <c r="E535">
        <v>0</v>
      </c>
      <c r="F535" s="387">
        <v>3019898</v>
      </c>
      <c r="G535" s="387">
        <v>-3019898</v>
      </c>
    </row>
    <row r="536" spans="1:7">
      <c r="A536">
        <v>528</v>
      </c>
      <c r="B536">
        <v>43103</v>
      </c>
      <c r="C536" t="s">
        <v>663</v>
      </c>
      <c r="D536">
        <v>0</v>
      </c>
      <c r="E536" s="387">
        <v>704414</v>
      </c>
      <c r="F536" s="387">
        <v>14282604.91</v>
      </c>
      <c r="G536" s="387">
        <v>-13578190.91</v>
      </c>
    </row>
    <row r="537" spans="1:7">
      <c r="A537">
        <v>529</v>
      </c>
      <c r="B537">
        <v>432</v>
      </c>
      <c r="C537" t="s">
        <v>664</v>
      </c>
      <c r="D537">
        <v>0</v>
      </c>
      <c r="E537" s="387">
        <v>3559470455.3000002</v>
      </c>
      <c r="F537" s="387">
        <v>3559470455.3000002</v>
      </c>
      <c r="G537">
        <v>0</v>
      </c>
    </row>
    <row r="538" spans="1:7">
      <c r="A538">
        <v>530</v>
      </c>
      <c r="B538">
        <v>43200</v>
      </c>
      <c r="C538" t="s">
        <v>664</v>
      </c>
      <c r="D538">
        <v>0</v>
      </c>
      <c r="E538" s="387">
        <v>3559470455.3000002</v>
      </c>
      <c r="F538" s="387">
        <v>3559470455.3000002</v>
      </c>
      <c r="G538">
        <v>0</v>
      </c>
    </row>
    <row r="539" spans="1:7">
      <c r="A539">
        <v>531</v>
      </c>
      <c r="B539">
        <v>435</v>
      </c>
      <c r="C539" t="s">
        <v>665</v>
      </c>
      <c r="D539">
        <v>0</v>
      </c>
      <c r="E539" s="387">
        <v>664368595.15999997</v>
      </c>
      <c r="F539" s="387">
        <v>664368595.15999997</v>
      </c>
      <c r="G539">
        <v>0</v>
      </c>
    </row>
    <row r="540" spans="1:7">
      <c r="A540">
        <v>532</v>
      </c>
      <c r="B540">
        <v>43500</v>
      </c>
      <c r="C540" t="s">
        <v>665</v>
      </c>
      <c r="D540">
        <v>0</v>
      </c>
      <c r="E540" s="387">
        <v>664368595.15999997</v>
      </c>
      <c r="F540" s="387">
        <v>664368595.15999997</v>
      </c>
      <c r="G540">
        <v>0</v>
      </c>
    </row>
    <row r="541" spans="1:7">
      <c r="A541">
        <v>533</v>
      </c>
      <c r="B541">
        <v>436</v>
      </c>
      <c r="C541" t="s">
        <v>666</v>
      </c>
      <c r="D541" s="387">
        <v>-82824946.519999996</v>
      </c>
      <c r="E541" s="387">
        <v>108842669.37</v>
      </c>
      <c r="F541" s="387">
        <v>94900941.5</v>
      </c>
      <c r="G541" s="387">
        <v>-68883218.650000006</v>
      </c>
    </row>
    <row r="542" spans="1:7">
      <c r="A542">
        <v>534</v>
      </c>
      <c r="B542">
        <v>43600</v>
      </c>
      <c r="C542" t="s">
        <v>666</v>
      </c>
      <c r="D542" s="387">
        <v>-82824946.519999996</v>
      </c>
      <c r="E542" s="387">
        <v>108842669.37</v>
      </c>
      <c r="F542" s="387">
        <v>94900941.5</v>
      </c>
      <c r="G542" s="387">
        <v>-68883218.650000006</v>
      </c>
    </row>
    <row r="543" spans="1:7">
      <c r="A543">
        <v>535</v>
      </c>
      <c r="B543">
        <v>44</v>
      </c>
      <c r="C543" t="s">
        <v>667</v>
      </c>
      <c r="D543" s="387">
        <v>-1728914626.46</v>
      </c>
      <c r="E543" s="387">
        <v>4092542267.0599999</v>
      </c>
      <c r="F543" s="387">
        <v>5927513685.9499998</v>
      </c>
      <c r="G543" s="387">
        <v>-3563886045.3499999</v>
      </c>
    </row>
    <row r="544" spans="1:7">
      <c r="A544">
        <v>536</v>
      </c>
      <c r="B544">
        <v>441</v>
      </c>
      <c r="C544" t="s">
        <v>668</v>
      </c>
      <c r="D544" s="387">
        <v>-1703334778</v>
      </c>
      <c r="E544" s="387">
        <v>49951976</v>
      </c>
      <c r="F544" s="387">
        <v>1886409764.8</v>
      </c>
      <c r="G544" s="387">
        <v>-3539792566.8000002</v>
      </c>
    </row>
    <row r="545" spans="1:7">
      <c r="A545">
        <v>537</v>
      </c>
      <c r="B545">
        <v>44110</v>
      </c>
      <c r="C545" t="s">
        <v>669</v>
      </c>
      <c r="D545">
        <v>0</v>
      </c>
      <c r="E545" s="387">
        <v>53216</v>
      </c>
      <c r="F545" s="387">
        <v>53216</v>
      </c>
      <c r="G545">
        <v>0</v>
      </c>
    </row>
    <row r="546" spans="1:7">
      <c r="A546">
        <v>538</v>
      </c>
      <c r="B546">
        <v>44111</v>
      </c>
      <c r="C546" t="s">
        <v>670</v>
      </c>
      <c r="D546" s="387">
        <v>-1336008</v>
      </c>
      <c r="E546" s="387">
        <v>5881396</v>
      </c>
      <c r="F546" s="387">
        <v>4545388</v>
      </c>
      <c r="G546">
        <v>0</v>
      </c>
    </row>
    <row r="547" spans="1:7">
      <c r="A547">
        <v>539</v>
      </c>
      <c r="B547">
        <v>44130</v>
      </c>
      <c r="C547" t="s">
        <v>671</v>
      </c>
      <c r="D547" s="387">
        <v>-9273269</v>
      </c>
      <c r="E547" s="387">
        <v>10318643</v>
      </c>
      <c r="F547" s="387">
        <v>7774309.7999999998</v>
      </c>
      <c r="G547" s="387">
        <v>-6728935.7999999998</v>
      </c>
    </row>
    <row r="548" spans="1:7">
      <c r="A548">
        <v>540</v>
      </c>
      <c r="B548">
        <v>44131</v>
      </c>
      <c r="C548" t="s">
        <v>672</v>
      </c>
      <c r="D548">
        <v>0</v>
      </c>
      <c r="E548" s="387">
        <v>1071232</v>
      </c>
      <c r="F548" s="387">
        <v>1071232</v>
      </c>
      <c r="G548">
        <v>0</v>
      </c>
    </row>
    <row r="549" spans="1:7">
      <c r="A549">
        <v>541</v>
      </c>
      <c r="B549">
        <v>44140</v>
      </c>
      <c r="C549" t="s">
        <v>673</v>
      </c>
      <c r="D549" s="387">
        <v>-1692725501</v>
      </c>
      <c r="E549">
        <v>0</v>
      </c>
      <c r="F549" s="387">
        <v>149403960</v>
      </c>
      <c r="G549" s="387">
        <v>-1842129461</v>
      </c>
    </row>
    <row r="550" spans="1:7">
      <c r="A550">
        <v>542</v>
      </c>
      <c r="B550">
        <v>44161</v>
      </c>
      <c r="C550" t="s">
        <v>674</v>
      </c>
      <c r="D550">
        <v>0</v>
      </c>
      <c r="E550" s="387">
        <v>32627489</v>
      </c>
      <c r="F550" s="387">
        <v>1723561659</v>
      </c>
      <c r="G550" s="387">
        <v>-1690934170</v>
      </c>
    </row>
    <row r="551" spans="1:7">
      <c r="A551">
        <v>543</v>
      </c>
      <c r="B551">
        <v>442</v>
      </c>
      <c r="C551" t="s">
        <v>675</v>
      </c>
      <c r="D551" s="387">
        <v>-13324672.800000001</v>
      </c>
      <c r="E551" s="387">
        <v>2377642.77</v>
      </c>
      <c r="F551" s="387">
        <v>1587250.82</v>
      </c>
      <c r="G551" s="387">
        <v>-12534280.85</v>
      </c>
    </row>
    <row r="552" spans="1:7">
      <c r="A552">
        <v>544</v>
      </c>
      <c r="B552">
        <v>44211</v>
      </c>
      <c r="C552" t="s">
        <v>676</v>
      </c>
      <c r="D552" s="387">
        <v>-309505.40000000002</v>
      </c>
      <c r="E552" s="387">
        <v>69689.5</v>
      </c>
      <c r="F552" s="387">
        <v>74046.42</v>
      </c>
      <c r="G552" s="387">
        <v>-313862.32</v>
      </c>
    </row>
    <row r="553" spans="1:7">
      <c r="A553">
        <v>545</v>
      </c>
      <c r="B553">
        <v>44214</v>
      </c>
      <c r="C553" t="s">
        <v>677</v>
      </c>
      <c r="D553" s="387">
        <v>-13015167.4</v>
      </c>
      <c r="E553" s="387">
        <v>2307953.27</v>
      </c>
      <c r="F553" s="387">
        <v>1513204.4</v>
      </c>
      <c r="G553" s="387">
        <v>-12220418.529999999</v>
      </c>
    </row>
    <row r="554" spans="1:7">
      <c r="A554">
        <v>546</v>
      </c>
      <c r="B554">
        <v>443</v>
      </c>
      <c r="C554" t="s">
        <v>678</v>
      </c>
      <c r="D554" s="387">
        <v>1778922.36</v>
      </c>
      <c r="E554" s="387">
        <v>2441147260.6399999</v>
      </c>
      <c r="F554" s="387">
        <v>2442934250</v>
      </c>
      <c r="G554" s="387">
        <v>-8067</v>
      </c>
    </row>
    <row r="555" spans="1:7">
      <c r="A555">
        <v>547</v>
      </c>
      <c r="B555">
        <v>44310</v>
      </c>
      <c r="C555" t="s">
        <v>679</v>
      </c>
      <c r="D555" s="387">
        <v>1723802.36</v>
      </c>
      <c r="E555" s="387">
        <v>2440359273.6399999</v>
      </c>
      <c r="F555" s="387">
        <v>2442091143</v>
      </c>
      <c r="G555" s="387">
        <v>-8067</v>
      </c>
    </row>
    <row r="556" spans="1:7">
      <c r="A556">
        <v>548</v>
      </c>
      <c r="B556">
        <v>44330</v>
      </c>
      <c r="C556" t="s">
        <v>680</v>
      </c>
      <c r="D556" s="387">
        <v>55120</v>
      </c>
      <c r="E556" s="387">
        <v>787987</v>
      </c>
      <c r="F556" s="387">
        <v>843107</v>
      </c>
      <c r="G556">
        <v>0</v>
      </c>
    </row>
    <row r="557" spans="1:7">
      <c r="A557">
        <v>549</v>
      </c>
      <c r="B557">
        <v>444</v>
      </c>
      <c r="C557" t="s">
        <v>681</v>
      </c>
      <c r="D557" s="387">
        <v>-14034098.02</v>
      </c>
      <c r="E557" s="387">
        <v>1599065387.6500001</v>
      </c>
      <c r="F557" s="387">
        <v>1596582420.3299999</v>
      </c>
      <c r="G557" s="387">
        <v>-11551130.699999999</v>
      </c>
    </row>
    <row r="558" spans="1:7">
      <c r="A558">
        <v>550</v>
      </c>
      <c r="B558">
        <v>44401</v>
      </c>
      <c r="C558" t="s">
        <v>682</v>
      </c>
      <c r="D558" s="387">
        <v>150339.03</v>
      </c>
      <c r="E558" s="387">
        <v>101872275.18000001</v>
      </c>
      <c r="F558" s="387">
        <v>102607296.20999999</v>
      </c>
      <c r="G558" s="387">
        <v>-584682</v>
      </c>
    </row>
    <row r="559" spans="1:7">
      <c r="A559">
        <v>551</v>
      </c>
      <c r="B559">
        <v>44402</v>
      </c>
      <c r="C559" t="s">
        <v>683</v>
      </c>
      <c r="D559">
        <v>0</v>
      </c>
      <c r="E559" s="387">
        <v>392684128</v>
      </c>
      <c r="F559" s="387">
        <v>392684128</v>
      </c>
      <c r="G559">
        <v>0</v>
      </c>
    </row>
    <row r="560" spans="1:7">
      <c r="A560">
        <v>552</v>
      </c>
      <c r="B560">
        <v>44404</v>
      </c>
      <c r="C560" t="s">
        <v>684</v>
      </c>
      <c r="D560">
        <v>0</v>
      </c>
      <c r="E560" s="387">
        <v>295499061</v>
      </c>
      <c r="F560" s="387">
        <v>295499061</v>
      </c>
      <c r="G560">
        <v>0</v>
      </c>
    </row>
    <row r="561" spans="1:7">
      <c r="A561">
        <v>553</v>
      </c>
      <c r="B561">
        <v>44406</v>
      </c>
      <c r="C561" t="s">
        <v>685</v>
      </c>
      <c r="D561" s="387">
        <v>-217350.39999999999</v>
      </c>
      <c r="E561" s="387">
        <v>104901496.72</v>
      </c>
      <c r="F561" s="387">
        <v>105054455.72</v>
      </c>
      <c r="G561" s="387">
        <v>-370309.4</v>
      </c>
    </row>
    <row r="562" spans="1:7">
      <c r="A562">
        <v>554</v>
      </c>
      <c r="B562">
        <v>44407</v>
      </c>
      <c r="C562" t="s">
        <v>686</v>
      </c>
      <c r="D562" s="387">
        <v>-40350</v>
      </c>
      <c r="E562" s="387">
        <v>17554165</v>
      </c>
      <c r="F562" s="387">
        <v>17513815</v>
      </c>
      <c r="G562">
        <v>0</v>
      </c>
    </row>
    <row r="563" spans="1:7">
      <c r="A563">
        <v>555</v>
      </c>
      <c r="B563">
        <v>44408</v>
      </c>
      <c r="C563" t="s">
        <v>687</v>
      </c>
      <c r="D563" s="387">
        <v>-123204</v>
      </c>
      <c r="E563" s="387">
        <v>1000</v>
      </c>
      <c r="F563" s="387">
        <v>88750</v>
      </c>
      <c r="G563" s="387">
        <v>-210954</v>
      </c>
    </row>
    <row r="564" spans="1:7">
      <c r="A564">
        <v>556</v>
      </c>
      <c r="B564">
        <v>44409</v>
      </c>
      <c r="C564" t="s">
        <v>688</v>
      </c>
      <c r="D564" s="387">
        <v>-2000</v>
      </c>
      <c r="E564" s="387">
        <v>2000</v>
      </c>
      <c r="F564">
        <v>0</v>
      </c>
      <c r="G564">
        <v>0</v>
      </c>
    </row>
    <row r="565" spans="1:7">
      <c r="A565">
        <v>557</v>
      </c>
      <c r="B565">
        <v>44410</v>
      </c>
      <c r="C565" t="s">
        <v>689</v>
      </c>
      <c r="D565">
        <v>0</v>
      </c>
      <c r="E565" s="387">
        <v>1317119</v>
      </c>
      <c r="F565" s="387">
        <v>1317119</v>
      </c>
      <c r="G565">
        <v>0</v>
      </c>
    </row>
    <row r="566" spans="1:7">
      <c r="A566">
        <v>558</v>
      </c>
      <c r="B566">
        <v>44412</v>
      </c>
      <c r="C566" t="s">
        <v>690</v>
      </c>
      <c r="D566">
        <v>0</v>
      </c>
      <c r="E566" s="387">
        <v>123081714</v>
      </c>
      <c r="F566" s="387">
        <v>123081714</v>
      </c>
      <c r="G566">
        <v>0</v>
      </c>
    </row>
    <row r="567" spans="1:7">
      <c r="A567">
        <v>559</v>
      </c>
      <c r="B567">
        <v>44413</v>
      </c>
      <c r="C567" t="s">
        <v>691</v>
      </c>
      <c r="D567">
        <v>0</v>
      </c>
      <c r="E567" s="387">
        <v>136945646.40000001</v>
      </c>
      <c r="F567" s="387">
        <v>136945646.40000001</v>
      </c>
      <c r="G567">
        <v>0</v>
      </c>
    </row>
    <row r="568" spans="1:7">
      <c r="A568">
        <v>560</v>
      </c>
      <c r="B568">
        <v>44414</v>
      </c>
      <c r="C568" t="s">
        <v>692</v>
      </c>
      <c r="D568" s="387">
        <v>-1908402</v>
      </c>
      <c r="E568" s="387">
        <v>162860518</v>
      </c>
      <c r="F568" s="387">
        <v>161198679</v>
      </c>
      <c r="G568" s="387">
        <v>-246563</v>
      </c>
    </row>
    <row r="569" spans="1:7">
      <c r="A569">
        <v>561</v>
      </c>
      <c r="B569">
        <v>44419</v>
      </c>
      <c r="C569" t="s">
        <v>693</v>
      </c>
      <c r="D569" s="387">
        <v>-1231559</v>
      </c>
      <c r="E569" s="387">
        <v>122909405.70999999</v>
      </c>
      <c r="F569" s="387">
        <v>121697077.64</v>
      </c>
      <c r="G569" s="387">
        <v>-19230.93</v>
      </c>
    </row>
    <row r="570" spans="1:7">
      <c r="A570">
        <v>562</v>
      </c>
      <c r="B570">
        <v>44420</v>
      </c>
      <c r="C570" t="s">
        <v>694</v>
      </c>
      <c r="D570" s="387">
        <v>-352442</v>
      </c>
      <c r="E570" s="387">
        <v>119779612.34999999</v>
      </c>
      <c r="F570" s="387">
        <v>119427170.34999999</v>
      </c>
      <c r="G570">
        <v>0</v>
      </c>
    </row>
    <row r="571" spans="1:7">
      <c r="A571">
        <v>563</v>
      </c>
      <c r="B571">
        <v>44429</v>
      </c>
      <c r="C571" t="s">
        <v>695</v>
      </c>
      <c r="D571" s="387">
        <v>-3376703.84</v>
      </c>
      <c r="E571" s="387">
        <v>6189308.4100000001</v>
      </c>
      <c r="F571" s="387">
        <v>4860888.3899999997</v>
      </c>
      <c r="G571" s="387">
        <v>-2048283.82</v>
      </c>
    </row>
    <row r="572" spans="1:7">
      <c r="A572">
        <v>564</v>
      </c>
      <c r="B572">
        <v>44430</v>
      </c>
      <c r="C572" t="s">
        <v>696</v>
      </c>
      <c r="D572" s="387">
        <v>-55120</v>
      </c>
      <c r="E572" s="387">
        <v>55120</v>
      </c>
      <c r="F572">
        <v>0</v>
      </c>
      <c r="G572">
        <v>0</v>
      </c>
    </row>
    <row r="573" spans="1:7">
      <c r="A573">
        <v>565</v>
      </c>
      <c r="B573">
        <v>44432</v>
      </c>
      <c r="C573" t="s">
        <v>697</v>
      </c>
      <c r="D573" s="387">
        <v>-21000</v>
      </c>
      <c r="E573" s="387">
        <v>172628</v>
      </c>
      <c r="F573" s="387">
        <v>166128</v>
      </c>
      <c r="G573" s="387">
        <v>-14500</v>
      </c>
    </row>
    <row r="574" spans="1:7">
      <c r="A574">
        <v>566</v>
      </c>
      <c r="B574">
        <v>44434</v>
      </c>
      <c r="C574" t="s">
        <v>698</v>
      </c>
      <c r="D574" s="387">
        <v>-21000</v>
      </c>
      <c r="E574" s="387">
        <v>161936</v>
      </c>
      <c r="F574" s="387">
        <v>155436</v>
      </c>
      <c r="G574" s="387">
        <v>-14500</v>
      </c>
    </row>
    <row r="575" spans="1:7">
      <c r="A575">
        <v>567</v>
      </c>
      <c r="B575">
        <v>44441</v>
      </c>
      <c r="C575" t="s">
        <v>699</v>
      </c>
      <c r="D575">
        <v>0</v>
      </c>
      <c r="E575">
        <v>450</v>
      </c>
      <c r="F575">
        <v>450</v>
      </c>
      <c r="G575">
        <v>0</v>
      </c>
    </row>
    <row r="576" spans="1:7">
      <c r="A576">
        <v>568</v>
      </c>
      <c r="B576">
        <v>44450</v>
      </c>
      <c r="C576" t="s">
        <v>700</v>
      </c>
      <c r="D576" s="387">
        <v>-210155</v>
      </c>
      <c r="E576" s="387">
        <v>806855</v>
      </c>
      <c r="F576" s="387">
        <v>721800</v>
      </c>
      <c r="G576" s="387">
        <v>-125100</v>
      </c>
    </row>
    <row r="577" spans="1:7">
      <c r="A577">
        <v>569</v>
      </c>
      <c r="B577">
        <v>44453</v>
      </c>
      <c r="C577" t="s">
        <v>701</v>
      </c>
      <c r="D577">
        <v>-100</v>
      </c>
      <c r="E577">
        <v>100</v>
      </c>
      <c r="F577">
        <v>0</v>
      </c>
      <c r="G577">
        <v>0</v>
      </c>
    </row>
    <row r="578" spans="1:7">
      <c r="A578">
        <v>570</v>
      </c>
      <c r="B578">
        <v>44454</v>
      </c>
      <c r="C578" t="s">
        <v>702</v>
      </c>
      <c r="D578" s="387">
        <v>-25700</v>
      </c>
      <c r="E578" s="387">
        <v>263900</v>
      </c>
      <c r="F578" s="387">
        <v>275200</v>
      </c>
      <c r="G578" s="387">
        <v>-37000</v>
      </c>
    </row>
    <row r="579" spans="1:7">
      <c r="A579">
        <v>571</v>
      </c>
      <c r="B579">
        <v>44456</v>
      </c>
      <c r="C579" t="s">
        <v>703</v>
      </c>
      <c r="D579" s="387">
        <v>-37400</v>
      </c>
      <c r="E579" s="387">
        <v>257400</v>
      </c>
      <c r="F579" s="387">
        <v>262400</v>
      </c>
      <c r="G579" s="387">
        <v>-42400</v>
      </c>
    </row>
    <row r="580" spans="1:7">
      <c r="A580">
        <v>572</v>
      </c>
      <c r="B580">
        <v>44457</v>
      </c>
      <c r="C580" t="s">
        <v>704</v>
      </c>
      <c r="D580" s="387">
        <v>-12400</v>
      </c>
      <c r="E580" s="387">
        <v>206800</v>
      </c>
      <c r="F580" s="387">
        <v>213400</v>
      </c>
      <c r="G580" s="387">
        <v>-19000</v>
      </c>
    </row>
    <row r="581" spans="1:7">
      <c r="A581">
        <v>573</v>
      </c>
      <c r="B581">
        <v>44461</v>
      </c>
      <c r="C581" t="s">
        <v>705</v>
      </c>
      <c r="D581">
        <v>0</v>
      </c>
      <c r="E581" s="387">
        <v>8251979</v>
      </c>
      <c r="F581" s="387">
        <v>8261895</v>
      </c>
      <c r="G581" s="387">
        <v>-9916</v>
      </c>
    </row>
    <row r="582" spans="1:7">
      <c r="A582">
        <v>574</v>
      </c>
      <c r="B582">
        <v>44473</v>
      </c>
      <c r="C582" t="s">
        <v>706</v>
      </c>
      <c r="D582" s="387">
        <v>-15600</v>
      </c>
      <c r="E582" s="387">
        <v>86856</v>
      </c>
      <c r="F582" s="387">
        <v>86626</v>
      </c>
      <c r="G582" s="387">
        <v>-15370</v>
      </c>
    </row>
    <row r="583" spans="1:7">
      <c r="A583">
        <v>575</v>
      </c>
      <c r="B583">
        <v>44475</v>
      </c>
      <c r="C583" t="s">
        <v>707</v>
      </c>
      <c r="D583" s="387">
        <v>-3325354.45</v>
      </c>
      <c r="E583" s="387">
        <v>1528492.88</v>
      </c>
      <c r="F583" s="387">
        <v>3523000.98</v>
      </c>
      <c r="G583" s="387">
        <v>-5319862.55</v>
      </c>
    </row>
    <row r="584" spans="1:7">
      <c r="A584">
        <v>576</v>
      </c>
      <c r="B584">
        <v>44476</v>
      </c>
      <c r="C584" t="s">
        <v>708</v>
      </c>
      <c r="D584">
        <v>0</v>
      </c>
      <c r="E584">
        <v>0</v>
      </c>
      <c r="F584" s="387">
        <v>787048</v>
      </c>
      <c r="G584" s="387">
        <v>-787048</v>
      </c>
    </row>
    <row r="585" spans="1:7">
      <c r="A585">
        <v>577</v>
      </c>
      <c r="B585">
        <v>44477</v>
      </c>
      <c r="C585" t="s">
        <v>709</v>
      </c>
      <c r="D585" s="387">
        <v>-3208596.36</v>
      </c>
      <c r="E585" s="387">
        <v>1675421</v>
      </c>
      <c r="F585" s="387">
        <v>153235.64000000001</v>
      </c>
      <c r="G585" s="387">
        <v>-1686411</v>
      </c>
    </row>
    <row r="586" spans="1:7">
      <c r="A586">
        <v>578</v>
      </c>
      <c r="B586">
        <v>45</v>
      </c>
      <c r="C586" t="s">
        <v>710</v>
      </c>
      <c r="D586" s="387">
        <v>-104756689.92</v>
      </c>
      <c r="E586" s="387">
        <v>63555605.119999997</v>
      </c>
      <c r="F586" s="387">
        <v>111061345.14</v>
      </c>
      <c r="G586" s="387">
        <v>-152262429.94</v>
      </c>
    </row>
    <row r="587" spans="1:7">
      <c r="A587">
        <v>579</v>
      </c>
      <c r="B587">
        <v>451</v>
      </c>
      <c r="C587" t="s">
        <v>711</v>
      </c>
      <c r="D587" s="387">
        <v>-16460596.24</v>
      </c>
      <c r="E587" s="387">
        <v>6698581.1200000001</v>
      </c>
      <c r="F587" s="387">
        <v>6141183.8600000003</v>
      </c>
      <c r="G587" s="387">
        <v>-15903198.98</v>
      </c>
    </row>
    <row r="588" spans="1:7">
      <c r="A588">
        <v>580</v>
      </c>
      <c r="B588">
        <v>45100</v>
      </c>
      <c r="C588" t="s">
        <v>711</v>
      </c>
      <c r="D588" s="387">
        <v>-16460596.24</v>
      </c>
      <c r="E588" s="387">
        <v>2552220.12</v>
      </c>
      <c r="F588" s="387">
        <v>2552220.12</v>
      </c>
      <c r="G588" s="387">
        <v>-16460596.24</v>
      </c>
    </row>
    <row r="589" spans="1:7">
      <c r="A589">
        <v>581</v>
      </c>
      <c r="B589">
        <v>45101</v>
      </c>
      <c r="C589" t="s">
        <v>712</v>
      </c>
      <c r="D589">
        <v>0</v>
      </c>
      <c r="E589" s="387">
        <v>552900</v>
      </c>
      <c r="F589" s="387">
        <v>1416580</v>
      </c>
      <c r="G589" s="387">
        <v>-863680</v>
      </c>
    </row>
    <row r="590" spans="1:7">
      <c r="A590">
        <v>582</v>
      </c>
      <c r="B590">
        <v>45102</v>
      </c>
      <c r="C590" t="s">
        <v>713</v>
      </c>
      <c r="D590">
        <v>0</v>
      </c>
      <c r="E590">
        <v>0</v>
      </c>
      <c r="F590" s="387">
        <v>1152241.74</v>
      </c>
      <c r="G590" s="387">
        <v>-1152241.74</v>
      </c>
    </row>
    <row r="591" spans="1:7">
      <c r="A591">
        <v>583</v>
      </c>
      <c r="B591">
        <v>45105</v>
      </c>
      <c r="C591" t="s">
        <v>714</v>
      </c>
      <c r="D591">
        <v>0</v>
      </c>
      <c r="E591" s="387">
        <v>1100</v>
      </c>
      <c r="F591">
        <v>0</v>
      </c>
      <c r="G591" s="387">
        <v>1100</v>
      </c>
    </row>
    <row r="592" spans="1:7">
      <c r="A592">
        <v>584</v>
      </c>
      <c r="B592">
        <v>45106</v>
      </c>
      <c r="C592" t="s">
        <v>715</v>
      </c>
      <c r="D592">
        <v>0</v>
      </c>
      <c r="E592" s="387">
        <v>3546983</v>
      </c>
      <c r="F592" s="387">
        <v>999953</v>
      </c>
      <c r="G592" s="387">
        <v>2547030</v>
      </c>
    </row>
    <row r="593" spans="1:7">
      <c r="A593">
        <v>585</v>
      </c>
      <c r="B593">
        <v>45107</v>
      </c>
      <c r="C593" t="s">
        <v>716</v>
      </c>
      <c r="D593">
        <v>0</v>
      </c>
      <c r="E593" s="387">
        <v>45378</v>
      </c>
      <c r="F593" s="387">
        <v>20189</v>
      </c>
      <c r="G593" s="387">
        <v>25189</v>
      </c>
    </row>
    <row r="594" spans="1:7">
      <c r="A594">
        <v>586</v>
      </c>
      <c r="B594">
        <v>452</v>
      </c>
      <c r="C594" t="s">
        <v>717</v>
      </c>
      <c r="D594" s="387">
        <v>-88296093.680000007</v>
      </c>
      <c r="E594" s="387">
        <v>56857024</v>
      </c>
      <c r="F594" s="387">
        <v>104920161.28</v>
      </c>
      <c r="G594" s="387">
        <v>-136359230.96000001</v>
      </c>
    </row>
    <row r="595" spans="1:7">
      <c r="A595">
        <v>587</v>
      </c>
      <c r="B595">
        <v>45200</v>
      </c>
      <c r="C595" t="s">
        <v>718</v>
      </c>
      <c r="D595" s="387">
        <v>-88296093.680000007</v>
      </c>
      <c r="E595" s="387">
        <v>23113322</v>
      </c>
      <c r="F595" s="387">
        <v>75066700.719999999</v>
      </c>
      <c r="G595" s="387">
        <v>-140249472.40000001</v>
      </c>
    </row>
    <row r="596" spans="1:7">
      <c r="A596">
        <v>588</v>
      </c>
      <c r="B596">
        <v>45201</v>
      </c>
      <c r="C596" t="s">
        <v>719</v>
      </c>
      <c r="D596">
        <v>0</v>
      </c>
      <c r="E596" s="387">
        <v>3386800</v>
      </c>
      <c r="F596" s="387">
        <v>9307625</v>
      </c>
      <c r="G596" s="387">
        <v>-5920825</v>
      </c>
    </row>
    <row r="597" spans="1:7">
      <c r="A597">
        <v>589</v>
      </c>
      <c r="B597">
        <v>45202</v>
      </c>
      <c r="C597" t="s">
        <v>720</v>
      </c>
      <c r="D597">
        <v>0</v>
      </c>
      <c r="E597">
        <v>0</v>
      </c>
      <c r="F597" s="387">
        <v>6180726.5599999996</v>
      </c>
      <c r="G597" s="387">
        <v>-6180726.5599999996</v>
      </c>
    </row>
    <row r="598" spans="1:7">
      <c r="A598">
        <v>590</v>
      </c>
      <c r="B598">
        <v>45205</v>
      </c>
      <c r="C598" t="s">
        <v>721</v>
      </c>
      <c r="D598">
        <v>0</v>
      </c>
      <c r="E598" s="387">
        <v>22056929</v>
      </c>
      <c r="F598" s="387">
        <v>7920049</v>
      </c>
      <c r="G598" s="387">
        <v>14136880</v>
      </c>
    </row>
    <row r="599" spans="1:7">
      <c r="A599">
        <v>591</v>
      </c>
      <c r="B599">
        <v>45206</v>
      </c>
      <c r="C599" t="s">
        <v>722</v>
      </c>
      <c r="D599">
        <v>0</v>
      </c>
      <c r="E599" s="387">
        <v>8299973</v>
      </c>
      <c r="F599" s="387">
        <v>6445060</v>
      </c>
      <c r="G599" s="387">
        <v>1854913</v>
      </c>
    </row>
    <row r="600" spans="1:7">
      <c r="A600">
        <v>592</v>
      </c>
      <c r="B600">
        <v>46</v>
      </c>
      <c r="C600" t="s">
        <v>723</v>
      </c>
      <c r="D600" s="387">
        <v>-4811275437.1099997</v>
      </c>
      <c r="E600" s="387">
        <v>29737342018.73</v>
      </c>
      <c r="F600" s="387">
        <v>29575384081.110001</v>
      </c>
      <c r="G600" s="387">
        <v>-4649317499.4899998</v>
      </c>
    </row>
    <row r="601" spans="1:7">
      <c r="A601">
        <v>593</v>
      </c>
      <c r="B601">
        <v>461</v>
      </c>
      <c r="C601" t="s">
        <v>724</v>
      </c>
      <c r="D601" s="387">
        <v>-769257665.74000001</v>
      </c>
      <c r="E601" s="387">
        <v>447753875.27999997</v>
      </c>
      <c r="F601" s="387">
        <v>485809236.49000001</v>
      </c>
      <c r="G601" s="387">
        <v>-807313026.95000005</v>
      </c>
    </row>
    <row r="602" spans="1:7">
      <c r="A602">
        <v>594</v>
      </c>
      <c r="B602">
        <v>46101</v>
      </c>
      <c r="C602" t="s">
        <v>725</v>
      </c>
      <c r="D602" s="387">
        <v>-284918777.55000001</v>
      </c>
      <c r="E602" s="387">
        <v>173459654.09999999</v>
      </c>
      <c r="F602" s="387">
        <v>175538522.75</v>
      </c>
      <c r="G602" s="387">
        <v>-286997646.19999999</v>
      </c>
    </row>
    <row r="603" spans="1:7">
      <c r="A603">
        <v>595</v>
      </c>
      <c r="B603">
        <v>46102</v>
      </c>
      <c r="C603" t="s">
        <v>726</v>
      </c>
      <c r="D603" s="387">
        <v>-7170195</v>
      </c>
      <c r="E603" s="387">
        <v>7045853</v>
      </c>
      <c r="F603" s="387">
        <v>3252897</v>
      </c>
      <c r="G603" s="387">
        <v>-3377239</v>
      </c>
    </row>
    <row r="604" spans="1:7">
      <c r="A604">
        <v>596</v>
      </c>
      <c r="B604">
        <v>46103</v>
      </c>
      <c r="C604" t="s">
        <v>727</v>
      </c>
      <c r="D604" s="387">
        <v>-73111222</v>
      </c>
      <c r="E604" s="387">
        <v>98637434.200000003</v>
      </c>
      <c r="F604" s="387">
        <v>107547509.84999999</v>
      </c>
      <c r="G604" s="387">
        <v>-82021297.650000006</v>
      </c>
    </row>
    <row r="605" spans="1:7">
      <c r="A605">
        <v>597</v>
      </c>
      <c r="B605">
        <v>46104</v>
      </c>
      <c r="C605" t="s">
        <v>728</v>
      </c>
      <c r="D605" s="387">
        <v>-184897112.21000001</v>
      </c>
      <c r="E605" s="387">
        <v>83453303.209999993</v>
      </c>
      <c r="F605" s="387">
        <v>33213714.390000001</v>
      </c>
      <c r="G605" s="387">
        <v>-134657523.38999999</v>
      </c>
    </row>
    <row r="606" spans="1:7">
      <c r="A606">
        <v>598</v>
      </c>
      <c r="B606">
        <v>46105</v>
      </c>
      <c r="C606" t="s">
        <v>729</v>
      </c>
      <c r="D606" s="387">
        <v>-104876902.8</v>
      </c>
      <c r="E606" s="387">
        <v>19154553</v>
      </c>
      <c r="F606" s="387">
        <v>32721975</v>
      </c>
      <c r="G606" s="387">
        <v>-118444324.8</v>
      </c>
    </row>
    <row r="607" spans="1:7">
      <c r="A607">
        <v>599</v>
      </c>
      <c r="B607">
        <v>46106</v>
      </c>
      <c r="C607" t="s">
        <v>730</v>
      </c>
      <c r="D607" s="387">
        <v>-32338740</v>
      </c>
      <c r="E607" s="387">
        <v>1900000</v>
      </c>
      <c r="F607" s="387">
        <v>2098000</v>
      </c>
      <c r="G607" s="387">
        <v>-32536740</v>
      </c>
    </row>
    <row r="608" spans="1:7">
      <c r="A608">
        <v>600</v>
      </c>
      <c r="B608">
        <v>46107</v>
      </c>
      <c r="C608" t="s">
        <v>731</v>
      </c>
      <c r="D608">
        <v>0</v>
      </c>
      <c r="E608" s="387">
        <v>351950</v>
      </c>
      <c r="F608" s="387">
        <v>1060419</v>
      </c>
      <c r="G608" s="387">
        <v>-708469</v>
      </c>
    </row>
    <row r="609" spans="1:7">
      <c r="A609">
        <v>601</v>
      </c>
      <c r="B609">
        <v>46109</v>
      </c>
      <c r="C609" t="s">
        <v>732</v>
      </c>
      <c r="D609">
        <v>0</v>
      </c>
      <c r="E609" s="387">
        <v>9000</v>
      </c>
      <c r="F609" s="387">
        <v>9000</v>
      </c>
      <c r="G609">
        <v>0</v>
      </c>
    </row>
    <row r="610" spans="1:7">
      <c r="A610">
        <v>602</v>
      </c>
      <c r="B610">
        <v>46110</v>
      </c>
      <c r="C610" t="s">
        <v>733</v>
      </c>
      <c r="D610">
        <v>0</v>
      </c>
      <c r="E610" s="387">
        <v>158050</v>
      </c>
      <c r="F610" s="387">
        <v>158050</v>
      </c>
      <c r="G610">
        <v>0</v>
      </c>
    </row>
    <row r="611" spans="1:7">
      <c r="A611">
        <v>603</v>
      </c>
      <c r="B611">
        <v>46111</v>
      </c>
      <c r="C611" t="s">
        <v>734</v>
      </c>
      <c r="D611">
        <v>0</v>
      </c>
      <c r="E611" s="387">
        <v>8162</v>
      </c>
      <c r="F611" s="387">
        <v>8162</v>
      </c>
      <c r="G611">
        <v>0</v>
      </c>
    </row>
    <row r="612" spans="1:7">
      <c r="A612">
        <v>604</v>
      </c>
      <c r="B612">
        <v>46116</v>
      </c>
      <c r="C612" t="s">
        <v>735</v>
      </c>
      <c r="D612" s="387">
        <v>-10020238</v>
      </c>
      <c r="E612" s="387">
        <v>3495390</v>
      </c>
      <c r="F612" s="387">
        <v>6583348.71</v>
      </c>
      <c r="G612" s="387">
        <v>-13108196.710000001</v>
      </c>
    </row>
    <row r="613" spans="1:7">
      <c r="A613">
        <v>605</v>
      </c>
      <c r="B613">
        <v>46117</v>
      </c>
      <c r="C613" t="s">
        <v>736</v>
      </c>
      <c r="D613" s="387">
        <v>-2379345.16</v>
      </c>
      <c r="E613" s="387">
        <v>18900.310000000001</v>
      </c>
      <c r="F613" s="387">
        <v>68062849.920000002</v>
      </c>
      <c r="G613" s="387">
        <v>-70423294.769999996</v>
      </c>
    </row>
    <row r="614" spans="1:7">
      <c r="A614">
        <v>606</v>
      </c>
      <c r="B614">
        <v>46141</v>
      </c>
      <c r="C614" t="s">
        <v>737</v>
      </c>
      <c r="D614" s="387">
        <v>-4448633</v>
      </c>
      <c r="E614" s="387">
        <v>4448633</v>
      </c>
      <c r="F614">
        <v>0</v>
      </c>
      <c r="G614">
        <v>0</v>
      </c>
    </row>
    <row r="615" spans="1:7">
      <c r="A615">
        <v>607</v>
      </c>
      <c r="B615">
        <v>46150</v>
      </c>
      <c r="C615" t="s">
        <v>738</v>
      </c>
      <c r="D615" s="387">
        <v>-24523126.489999998</v>
      </c>
      <c r="E615" s="387">
        <v>33884081.600000001</v>
      </c>
      <c r="F615" s="387">
        <v>28009237.449999999</v>
      </c>
      <c r="G615" s="387">
        <v>-18648282.34</v>
      </c>
    </row>
    <row r="616" spans="1:7">
      <c r="A616">
        <v>608</v>
      </c>
      <c r="B616">
        <v>46151</v>
      </c>
      <c r="C616" t="s">
        <v>739</v>
      </c>
      <c r="D616" s="387">
        <v>-18363901.219999999</v>
      </c>
      <c r="E616" s="387">
        <v>21082681.109999999</v>
      </c>
      <c r="F616" s="387">
        <v>24198017.620000001</v>
      </c>
      <c r="G616" s="387">
        <v>-21479237.73</v>
      </c>
    </row>
    <row r="617" spans="1:7">
      <c r="A617">
        <v>609</v>
      </c>
      <c r="B617">
        <v>46152</v>
      </c>
      <c r="C617" t="s">
        <v>740</v>
      </c>
      <c r="D617">
        <v>0</v>
      </c>
      <c r="E617">
        <v>780</v>
      </c>
      <c r="F617">
        <v>780</v>
      </c>
      <c r="G617">
        <v>0</v>
      </c>
    </row>
    <row r="618" spans="1:7">
      <c r="A618">
        <v>610</v>
      </c>
      <c r="B618">
        <v>46153</v>
      </c>
      <c r="C618" t="s">
        <v>741</v>
      </c>
      <c r="D618">
        <v>0</v>
      </c>
      <c r="E618" s="387">
        <v>22540</v>
      </c>
      <c r="F618" s="387">
        <v>22540</v>
      </c>
      <c r="G618">
        <v>0</v>
      </c>
    </row>
    <row r="619" spans="1:7">
      <c r="A619">
        <v>611</v>
      </c>
      <c r="B619">
        <v>46154</v>
      </c>
      <c r="C619" t="s">
        <v>742</v>
      </c>
      <c r="D619" s="387">
        <v>442127</v>
      </c>
      <c r="E619" s="387">
        <v>331514</v>
      </c>
      <c r="F619" s="387">
        <v>1999036</v>
      </c>
      <c r="G619" s="387">
        <v>-1225395</v>
      </c>
    </row>
    <row r="620" spans="1:7">
      <c r="A620">
        <v>612</v>
      </c>
      <c r="B620">
        <v>46155</v>
      </c>
      <c r="C620" t="s">
        <v>743</v>
      </c>
      <c r="D620">
        <v>0</v>
      </c>
      <c r="E620" s="387">
        <v>5896.8</v>
      </c>
      <c r="F620" s="387">
        <v>5896.8</v>
      </c>
      <c r="G620">
        <v>0</v>
      </c>
    </row>
    <row r="621" spans="1:7">
      <c r="A621">
        <v>613</v>
      </c>
      <c r="B621">
        <v>46160</v>
      </c>
      <c r="C621" t="s">
        <v>744</v>
      </c>
      <c r="D621" s="387">
        <v>-133070</v>
      </c>
      <c r="E621">
        <v>0</v>
      </c>
      <c r="F621" s="387">
        <v>47951</v>
      </c>
      <c r="G621" s="387">
        <v>-181021</v>
      </c>
    </row>
    <row r="622" spans="1:7">
      <c r="A622">
        <v>614</v>
      </c>
      <c r="B622">
        <v>46162</v>
      </c>
      <c r="C622" t="s">
        <v>745</v>
      </c>
      <c r="D622" s="387">
        <v>-7271832</v>
      </c>
      <c r="E622" s="387">
        <v>4724</v>
      </c>
      <c r="F622" s="387">
        <v>4724</v>
      </c>
      <c r="G622" s="387">
        <v>-7271832</v>
      </c>
    </row>
    <row r="623" spans="1:7">
      <c r="A623">
        <v>615</v>
      </c>
      <c r="B623">
        <v>46163</v>
      </c>
      <c r="C623" t="s">
        <v>746</v>
      </c>
      <c r="D623" s="387">
        <v>-15246697.310000001</v>
      </c>
      <c r="E623" s="387">
        <v>280774.95</v>
      </c>
      <c r="F623" s="387">
        <v>1266605</v>
      </c>
      <c r="G623" s="387">
        <v>-16232527.359999999</v>
      </c>
    </row>
    <row r="624" spans="1:7">
      <c r="A624">
        <v>616</v>
      </c>
      <c r="B624">
        <v>463</v>
      </c>
      <c r="C624" t="s">
        <v>747</v>
      </c>
      <c r="D624" s="387">
        <v>-1268471378.3399999</v>
      </c>
      <c r="E624" s="387">
        <v>21887855552.330002</v>
      </c>
      <c r="F624" s="387">
        <v>21979743524.23</v>
      </c>
      <c r="G624" s="387">
        <v>-1360359350.24</v>
      </c>
    </row>
    <row r="625" spans="1:7">
      <c r="A625">
        <v>617</v>
      </c>
      <c r="B625">
        <v>46300</v>
      </c>
      <c r="C625" t="s">
        <v>748</v>
      </c>
      <c r="D625" s="387">
        <v>-66208.509999999995</v>
      </c>
      <c r="E625" s="387">
        <v>19111896348.200001</v>
      </c>
      <c r="F625" s="387">
        <v>19111835866.380001</v>
      </c>
      <c r="G625" s="387">
        <v>-5726.69</v>
      </c>
    </row>
    <row r="626" spans="1:7">
      <c r="A626">
        <v>618</v>
      </c>
      <c r="B626">
        <v>46301</v>
      </c>
      <c r="C626" t="s">
        <v>749</v>
      </c>
      <c r="D626" s="387">
        <v>-1204375809.51</v>
      </c>
      <c r="E626" s="387">
        <v>2766593291.2800002</v>
      </c>
      <c r="F626" s="387">
        <v>2858573531.3499999</v>
      </c>
      <c r="G626" s="387">
        <v>-1296356049.5799999</v>
      </c>
    </row>
    <row r="627" spans="1:7">
      <c r="A627">
        <v>619</v>
      </c>
      <c r="B627">
        <v>46302</v>
      </c>
      <c r="C627" t="s">
        <v>750</v>
      </c>
      <c r="D627" s="387">
        <v>-45007977.57</v>
      </c>
      <c r="E627">
        <v>0</v>
      </c>
      <c r="F627">
        <v>0</v>
      </c>
      <c r="G627" s="387">
        <v>-45007977.57</v>
      </c>
    </row>
    <row r="628" spans="1:7">
      <c r="A628">
        <v>620</v>
      </c>
      <c r="B628">
        <v>46311</v>
      </c>
      <c r="C628" t="s">
        <v>751</v>
      </c>
      <c r="D628" s="387">
        <v>-14356649.210000001</v>
      </c>
      <c r="E628">
        <v>0</v>
      </c>
      <c r="F628">
        <v>0</v>
      </c>
      <c r="G628" s="387">
        <v>-14356649.210000001</v>
      </c>
    </row>
    <row r="629" spans="1:7">
      <c r="A629">
        <v>621</v>
      </c>
      <c r="B629">
        <v>46312</v>
      </c>
      <c r="C629" t="s">
        <v>752</v>
      </c>
      <c r="D629" s="387">
        <v>-3719488.7</v>
      </c>
      <c r="E629">
        <v>0</v>
      </c>
      <c r="F629">
        <v>0</v>
      </c>
      <c r="G629" s="387">
        <v>-3719488.7</v>
      </c>
    </row>
    <row r="630" spans="1:7">
      <c r="A630">
        <v>622</v>
      </c>
      <c r="B630">
        <v>46313</v>
      </c>
      <c r="C630" t="s">
        <v>753</v>
      </c>
      <c r="D630" s="387">
        <v>1472359.66</v>
      </c>
      <c r="E630" s="387">
        <v>36256.65</v>
      </c>
      <c r="F630" s="387">
        <v>113314.8</v>
      </c>
      <c r="G630" s="387">
        <v>1395301.51</v>
      </c>
    </row>
    <row r="631" spans="1:7">
      <c r="A631">
        <v>623</v>
      </c>
      <c r="B631">
        <v>46322</v>
      </c>
      <c r="C631" t="s">
        <v>754</v>
      </c>
      <c r="D631" s="387">
        <v>-2417604.5</v>
      </c>
      <c r="E631" s="387">
        <v>9326128.1999999993</v>
      </c>
      <c r="F631" s="387">
        <v>9217283.6999999993</v>
      </c>
      <c r="G631" s="387">
        <v>-2308760</v>
      </c>
    </row>
    <row r="632" spans="1:7">
      <c r="A632">
        <v>624</v>
      </c>
      <c r="B632">
        <v>46323</v>
      </c>
      <c r="C632" t="s">
        <v>755</v>
      </c>
      <c r="D632">
        <v>0</v>
      </c>
      <c r="E632" s="387">
        <v>3528</v>
      </c>
      <c r="F632" s="387">
        <v>3528</v>
      </c>
      <c r="G632">
        <v>0</v>
      </c>
    </row>
    <row r="633" spans="1:7">
      <c r="A633">
        <v>625</v>
      </c>
      <c r="B633">
        <v>464</v>
      </c>
      <c r="C633" t="s">
        <v>756</v>
      </c>
      <c r="D633" s="387">
        <v>-1717529162.1199999</v>
      </c>
      <c r="E633" s="387">
        <v>5956511420.79</v>
      </c>
      <c r="F633" s="387">
        <v>4532370613.5200005</v>
      </c>
      <c r="G633" s="387">
        <v>-293388354.85000002</v>
      </c>
    </row>
    <row r="634" spans="1:7">
      <c r="A634">
        <v>626</v>
      </c>
      <c r="B634">
        <v>46410</v>
      </c>
      <c r="C634" t="s">
        <v>757</v>
      </c>
      <c r="D634">
        <v>0</v>
      </c>
      <c r="E634" s="387">
        <v>666250</v>
      </c>
      <c r="F634" s="387">
        <v>666250</v>
      </c>
      <c r="G634">
        <v>0</v>
      </c>
    </row>
    <row r="635" spans="1:7">
      <c r="A635">
        <v>627</v>
      </c>
      <c r="B635">
        <v>46412</v>
      </c>
      <c r="C635" t="s">
        <v>758</v>
      </c>
      <c r="D635" s="387">
        <v>-3131814.09</v>
      </c>
      <c r="E635" s="387">
        <v>3701657244.3899999</v>
      </c>
      <c r="F635" s="387">
        <v>3698525430.3000002</v>
      </c>
      <c r="G635">
        <v>0</v>
      </c>
    </row>
    <row r="636" spans="1:7">
      <c r="A636">
        <v>628</v>
      </c>
      <c r="B636">
        <v>46414</v>
      </c>
      <c r="C636" t="s">
        <v>759</v>
      </c>
      <c r="D636">
        <v>0</v>
      </c>
      <c r="E636">
        <v>0</v>
      </c>
      <c r="F636" s="387">
        <v>3234670</v>
      </c>
      <c r="G636" s="387">
        <v>-3234670</v>
      </c>
    </row>
    <row r="637" spans="1:7">
      <c r="A637">
        <v>629</v>
      </c>
      <c r="B637">
        <v>46430</v>
      </c>
      <c r="C637" t="s">
        <v>760</v>
      </c>
      <c r="D637" s="387">
        <v>-1714397348.03</v>
      </c>
      <c r="E637" s="387">
        <v>2254187926.4000001</v>
      </c>
      <c r="F637" s="387">
        <v>829944263.22000003</v>
      </c>
      <c r="G637" s="387">
        <v>-290153684.85000002</v>
      </c>
    </row>
    <row r="638" spans="1:7">
      <c r="A638">
        <v>630</v>
      </c>
      <c r="B638">
        <v>467</v>
      </c>
      <c r="C638" t="s">
        <v>761</v>
      </c>
      <c r="D638" s="387">
        <v>-312906270.95999998</v>
      </c>
      <c r="E638" s="387">
        <v>38329128.899999999</v>
      </c>
      <c r="F638" s="387">
        <v>13291420.18</v>
      </c>
      <c r="G638" s="387">
        <v>-287868562.24000001</v>
      </c>
    </row>
    <row r="639" spans="1:7">
      <c r="A639">
        <v>631</v>
      </c>
      <c r="B639">
        <v>46701</v>
      </c>
      <c r="C639" t="s">
        <v>762</v>
      </c>
      <c r="D639" s="387">
        <v>-5309127</v>
      </c>
      <c r="E639" s="387">
        <v>5309127</v>
      </c>
      <c r="F639" s="387">
        <v>3433594</v>
      </c>
      <c r="G639" s="387">
        <v>-3433594</v>
      </c>
    </row>
    <row r="640" spans="1:7">
      <c r="A640">
        <v>632</v>
      </c>
      <c r="B640">
        <v>46730</v>
      </c>
      <c r="C640" t="s">
        <v>763</v>
      </c>
      <c r="D640">
        <v>0</v>
      </c>
      <c r="E640" s="387">
        <v>1405373.98</v>
      </c>
      <c r="F640" s="387">
        <v>1405373.98</v>
      </c>
      <c r="G640">
        <v>0</v>
      </c>
    </row>
    <row r="641" spans="1:7">
      <c r="A641">
        <v>633</v>
      </c>
      <c r="B641">
        <v>46739</v>
      </c>
      <c r="C641" t="s">
        <v>764</v>
      </c>
      <c r="D641" s="387">
        <v>-307597143.95999998</v>
      </c>
      <c r="E641" s="387">
        <v>31614627.920000002</v>
      </c>
      <c r="F641" s="387">
        <v>8452452.1999999993</v>
      </c>
      <c r="G641" s="387">
        <v>-284434968.24000001</v>
      </c>
    </row>
    <row r="642" spans="1:7">
      <c r="A642">
        <v>634</v>
      </c>
      <c r="B642">
        <v>468</v>
      </c>
      <c r="C642" t="s">
        <v>765</v>
      </c>
      <c r="D642" s="387">
        <v>-389729538.98000002</v>
      </c>
      <c r="E642" s="387">
        <v>40101</v>
      </c>
      <c r="F642" s="387">
        <v>224051070</v>
      </c>
      <c r="G642" s="387">
        <v>-613740507.98000002</v>
      </c>
    </row>
    <row r="643" spans="1:7">
      <c r="A643">
        <v>635</v>
      </c>
      <c r="B643">
        <v>46800</v>
      </c>
      <c r="C643" t="s">
        <v>765</v>
      </c>
      <c r="D643">
        <v>0</v>
      </c>
      <c r="E643" s="387">
        <v>40101</v>
      </c>
      <c r="F643" s="387">
        <v>40101</v>
      </c>
      <c r="G643">
        <v>0</v>
      </c>
    </row>
    <row r="644" spans="1:7">
      <c r="A644">
        <v>636</v>
      </c>
      <c r="B644">
        <v>46810</v>
      </c>
      <c r="C644" t="s">
        <v>766</v>
      </c>
      <c r="D644" s="387">
        <v>-389729538.98000002</v>
      </c>
      <c r="E644">
        <v>0</v>
      </c>
      <c r="F644" s="387">
        <v>224010969</v>
      </c>
      <c r="G644" s="387">
        <v>-613740507.98000002</v>
      </c>
    </row>
    <row r="645" spans="1:7">
      <c r="A645">
        <v>637</v>
      </c>
      <c r="B645">
        <v>469</v>
      </c>
      <c r="C645" t="s">
        <v>767</v>
      </c>
      <c r="D645" s="387">
        <v>-353381420.97000003</v>
      </c>
      <c r="E645" s="387">
        <v>1406851940.4300001</v>
      </c>
      <c r="F645" s="387">
        <v>2340118216.6900001</v>
      </c>
      <c r="G645" s="387">
        <v>-1286647697.23</v>
      </c>
    </row>
    <row r="646" spans="1:7">
      <c r="A646">
        <v>638</v>
      </c>
      <c r="B646">
        <v>46901</v>
      </c>
      <c r="C646" t="s">
        <v>768</v>
      </c>
      <c r="D646">
        <v>0</v>
      </c>
      <c r="E646" s="387">
        <v>57895</v>
      </c>
      <c r="F646" s="387">
        <v>57895</v>
      </c>
      <c r="G646">
        <v>0</v>
      </c>
    </row>
    <row r="647" spans="1:7">
      <c r="A647">
        <v>639</v>
      </c>
      <c r="B647">
        <v>46903</v>
      </c>
      <c r="C647" t="s">
        <v>769</v>
      </c>
      <c r="D647" s="387">
        <v>-2232709.46</v>
      </c>
      <c r="E647" s="387">
        <v>46788735.299999997</v>
      </c>
      <c r="F647" s="387">
        <v>46459705.310000002</v>
      </c>
      <c r="G647" s="387">
        <v>-1903679.47</v>
      </c>
    </row>
    <row r="648" spans="1:7">
      <c r="A648">
        <v>640</v>
      </c>
      <c r="B648">
        <v>46904</v>
      </c>
      <c r="C648" t="s">
        <v>770</v>
      </c>
      <c r="D648" s="387">
        <v>-2138352.46</v>
      </c>
      <c r="E648" s="387">
        <v>46612885.409999996</v>
      </c>
      <c r="F648" s="387">
        <v>46378212.420000002</v>
      </c>
      <c r="G648" s="387">
        <v>-1903679.47</v>
      </c>
    </row>
    <row r="649" spans="1:7">
      <c r="A649">
        <v>641</v>
      </c>
      <c r="B649">
        <v>46905</v>
      </c>
      <c r="C649" t="s">
        <v>771</v>
      </c>
      <c r="D649" s="387">
        <v>-740333.08</v>
      </c>
      <c r="E649" s="387">
        <v>27142350</v>
      </c>
      <c r="F649" s="387">
        <v>29691575</v>
      </c>
      <c r="G649" s="387">
        <v>-3289558.08</v>
      </c>
    </row>
    <row r="650" spans="1:7">
      <c r="A650">
        <v>642</v>
      </c>
      <c r="B650">
        <v>46907</v>
      </c>
      <c r="C650" t="s">
        <v>772</v>
      </c>
      <c r="D650">
        <v>0</v>
      </c>
      <c r="E650" s="387">
        <v>8043437</v>
      </c>
      <c r="F650" s="387">
        <v>8043437</v>
      </c>
      <c r="G650">
        <v>0</v>
      </c>
    </row>
    <row r="651" spans="1:7">
      <c r="A651">
        <v>643</v>
      </c>
      <c r="B651">
        <v>46908</v>
      </c>
      <c r="C651" t="s">
        <v>773</v>
      </c>
      <c r="D651">
        <v>0</v>
      </c>
      <c r="E651">
        <v>384</v>
      </c>
      <c r="F651">
        <v>416</v>
      </c>
      <c r="G651">
        <v>-32</v>
      </c>
    </row>
    <row r="652" spans="1:7">
      <c r="A652">
        <v>644</v>
      </c>
      <c r="B652">
        <v>46909</v>
      </c>
      <c r="C652" t="s">
        <v>774</v>
      </c>
      <c r="D652">
        <v>0</v>
      </c>
      <c r="E652" s="387">
        <v>5156835.5</v>
      </c>
      <c r="F652" s="387">
        <v>5189096.5</v>
      </c>
      <c r="G652" s="387">
        <v>-32261</v>
      </c>
    </row>
    <row r="653" spans="1:7">
      <c r="A653">
        <v>645</v>
      </c>
      <c r="B653">
        <v>46910</v>
      </c>
      <c r="C653" t="s">
        <v>775</v>
      </c>
      <c r="D653" s="387">
        <v>-16879023.609999999</v>
      </c>
      <c r="E653" s="387">
        <v>17349603.530000001</v>
      </c>
      <c r="F653" s="387">
        <v>12550721.220000001</v>
      </c>
      <c r="G653" s="387">
        <v>-12080141.300000001</v>
      </c>
    </row>
    <row r="654" spans="1:7">
      <c r="A654">
        <v>646</v>
      </c>
      <c r="B654">
        <v>46918</v>
      </c>
      <c r="C654" t="s">
        <v>776</v>
      </c>
      <c r="D654">
        <v>0</v>
      </c>
      <c r="E654">
        <v>0</v>
      </c>
      <c r="F654" s="387">
        <v>20000</v>
      </c>
      <c r="G654" s="387">
        <v>-20000</v>
      </c>
    </row>
    <row r="655" spans="1:7">
      <c r="A655">
        <v>647</v>
      </c>
      <c r="B655">
        <v>46919</v>
      </c>
      <c r="C655" t="s">
        <v>777</v>
      </c>
      <c r="D655">
        <v>0</v>
      </c>
      <c r="E655" s="387">
        <v>2040</v>
      </c>
      <c r="F655" s="387">
        <v>2040</v>
      </c>
      <c r="G655">
        <v>0</v>
      </c>
    </row>
    <row r="656" spans="1:7">
      <c r="A656">
        <v>648</v>
      </c>
      <c r="B656">
        <v>46920</v>
      </c>
      <c r="C656" t="s">
        <v>778</v>
      </c>
      <c r="D656">
        <v>0</v>
      </c>
      <c r="E656" s="387">
        <v>2000</v>
      </c>
      <c r="F656" s="387">
        <v>2000</v>
      </c>
      <c r="G656">
        <v>0</v>
      </c>
    </row>
    <row r="657" spans="1:7">
      <c r="A657">
        <v>649</v>
      </c>
      <c r="B657">
        <v>46921</v>
      </c>
      <c r="C657" t="s">
        <v>779</v>
      </c>
      <c r="D657" s="387">
        <v>-22087608</v>
      </c>
      <c r="E657" s="387">
        <v>13174415</v>
      </c>
      <c r="F657">
        <v>0</v>
      </c>
      <c r="G657" s="387">
        <v>-8913193</v>
      </c>
    </row>
    <row r="658" spans="1:7">
      <c r="A658">
        <v>650</v>
      </c>
      <c r="B658">
        <v>46922</v>
      </c>
      <c r="C658" t="s">
        <v>780</v>
      </c>
      <c r="D658" s="387">
        <v>-7078378.54</v>
      </c>
      <c r="E658" s="387">
        <v>7767616.54</v>
      </c>
      <c r="F658" s="387">
        <v>900603</v>
      </c>
      <c r="G658" s="387">
        <v>-211365</v>
      </c>
    </row>
    <row r="659" spans="1:7">
      <c r="A659">
        <v>651</v>
      </c>
      <c r="B659">
        <v>46923</v>
      </c>
      <c r="C659" t="s">
        <v>781</v>
      </c>
      <c r="D659" s="387">
        <v>-81853688.030000001</v>
      </c>
      <c r="E659" s="387">
        <v>88726835.790000007</v>
      </c>
      <c r="F659" s="387">
        <v>54501435.759999998</v>
      </c>
      <c r="G659" s="387">
        <v>-47628288</v>
      </c>
    </row>
    <row r="660" spans="1:7">
      <c r="A660">
        <v>652</v>
      </c>
      <c r="B660">
        <v>46924</v>
      </c>
      <c r="C660" t="s">
        <v>782</v>
      </c>
      <c r="D660" s="387">
        <v>-4167094.32</v>
      </c>
      <c r="E660" s="387">
        <v>52142979.740000002</v>
      </c>
      <c r="F660" s="387">
        <v>50251701.899999999</v>
      </c>
      <c r="G660" s="387">
        <v>-2275816.48</v>
      </c>
    </row>
    <row r="661" spans="1:7">
      <c r="A661">
        <v>653</v>
      </c>
      <c r="B661">
        <v>46925</v>
      </c>
      <c r="C661" t="s">
        <v>783</v>
      </c>
      <c r="D661" s="387">
        <v>-964618.65</v>
      </c>
      <c r="E661" s="387">
        <v>4596360.6500000004</v>
      </c>
      <c r="F661" s="387">
        <v>3963981.5</v>
      </c>
      <c r="G661" s="387">
        <v>-332239.5</v>
      </c>
    </row>
    <row r="662" spans="1:7">
      <c r="A662">
        <v>654</v>
      </c>
      <c r="B662">
        <v>46927</v>
      </c>
      <c r="C662" t="s">
        <v>784</v>
      </c>
      <c r="D662">
        <v>0</v>
      </c>
      <c r="E662" s="387">
        <v>2545</v>
      </c>
      <c r="F662" s="387">
        <v>2545</v>
      </c>
      <c r="G662">
        <v>0</v>
      </c>
    </row>
    <row r="663" spans="1:7">
      <c r="A663">
        <v>655</v>
      </c>
      <c r="B663">
        <v>46929</v>
      </c>
      <c r="C663" t="s">
        <v>785</v>
      </c>
      <c r="D663">
        <v>0</v>
      </c>
      <c r="E663" s="387">
        <v>19510</v>
      </c>
      <c r="F663" s="387">
        <v>19510</v>
      </c>
      <c r="G663">
        <v>0</v>
      </c>
    </row>
    <row r="664" spans="1:7">
      <c r="A664">
        <v>656</v>
      </c>
      <c r="B664">
        <v>46930</v>
      </c>
      <c r="C664" t="s">
        <v>786</v>
      </c>
      <c r="D664" s="387">
        <v>-8514404.1799999997</v>
      </c>
      <c r="E664" s="387">
        <v>9519330</v>
      </c>
      <c r="F664" s="387">
        <v>7780874</v>
      </c>
      <c r="G664" s="387">
        <v>-6775948.1799999997</v>
      </c>
    </row>
    <row r="665" spans="1:7">
      <c r="A665">
        <v>657</v>
      </c>
      <c r="B665">
        <v>46931</v>
      </c>
      <c r="C665" t="s">
        <v>787</v>
      </c>
      <c r="D665" s="387">
        <v>-742360</v>
      </c>
      <c r="E665">
        <v>0</v>
      </c>
      <c r="F665">
        <v>0</v>
      </c>
      <c r="G665" s="387">
        <v>-742360</v>
      </c>
    </row>
    <row r="666" spans="1:7">
      <c r="A666">
        <v>658</v>
      </c>
      <c r="B666">
        <v>46934</v>
      </c>
      <c r="C666" t="s">
        <v>788</v>
      </c>
      <c r="D666">
        <v>0</v>
      </c>
      <c r="E666" s="387">
        <v>4976061</v>
      </c>
      <c r="F666" s="387">
        <v>4976061</v>
      </c>
      <c r="G666">
        <v>0</v>
      </c>
    </row>
    <row r="667" spans="1:7">
      <c r="A667">
        <v>659</v>
      </c>
      <c r="B667">
        <v>46936</v>
      </c>
      <c r="C667" t="s">
        <v>789</v>
      </c>
      <c r="D667">
        <v>0</v>
      </c>
      <c r="E667" s="387">
        <v>813949295</v>
      </c>
      <c r="F667" s="387">
        <v>813949295</v>
      </c>
      <c r="G667">
        <v>0</v>
      </c>
    </row>
    <row r="668" spans="1:7">
      <c r="A668">
        <v>660</v>
      </c>
      <c r="B668">
        <v>46937</v>
      </c>
      <c r="C668" t="s">
        <v>790</v>
      </c>
      <c r="D668" s="387">
        <v>-42328186.240000002</v>
      </c>
      <c r="E668" s="387">
        <v>101839775.13</v>
      </c>
      <c r="F668" s="387">
        <v>90488220.409999996</v>
      </c>
      <c r="G668" s="387">
        <v>-30976631.52</v>
      </c>
    </row>
    <row r="669" spans="1:7">
      <c r="A669">
        <v>661</v>
      </c>
      <c r="B669">
        <v>46938</v>
      </c>
      <c r="C669" t="s">
        <v>791</v>
      </c>
      <c r="D669">
        <v>0</v>
      </c>
      <c r="E669" s="387">
        <v>63780.14</v>
      </c>
      <c r="F669" s="387">
        <v>63780.14</v>
      </c>
      <c r="G669">
        <v>0</v>
      </c>
    </row>
    <row r="670" spans="1:7">
      <c r="A670">
        <v>662</v>
      </c>
      <c r="B670">
        <v>46939</v>
      </c>
      <c r="C670" t="s">
        <v>792</v>
      </c>
      <c r="D670">
        <v>0</v>
      </c>
      <c r="E670" s="387">
        <v>28400</v>
      </c>
      <c r="F670" s="387">
        <v>28400</v>
      </c>
      <c r="G670">
        <v>0</v>
      </c>
    </row>
    <row r="671" spans="1:7">
      <c r="A671">
        <v>663</v>
      </c>
      <c r="B671">
        <v>46940</v>
      </c>
      <c r="C671" t="s">
        <v>793</v>
      </c>
      <c r="D671">
        <v>0</v>
      </c>
      <c r="E671">
        <v>90</v>
      </c>
      <c r="F671">
        <v>90</v>
      </c>
      <c r="G671">
        <v>0</v>
      </c>
    </row>
    <row r="672" spans="1:7">
      <c r="A672">
        <v>664</v>
      </c>
      <c r="B672">
        <v>46942</v>
      </c>
      <c r="C672" t="s">
        <v>794</v>
      </c>
      <c r="D672">
        <v>0</v>
      </c>
      <c r="E672" s="387">
        <v>3654</v>
      </c>
      <c r="F672" s="387">
        <v>3654</v>
      </c>
      <c r="G672">
        <v>0</v>
      </c>
    </row>
    <row r="673" spans="1:7">
      <c r="A673">
        <v>665</v>
      </c>
      <c r="B673">
        <v>46944</v>
      </c>
      <c r="C673" t="s">
        <v>795</v>
      </c>
      <c r="D673">
        <v>0</v>
      </c>
      <c r="E673" s="387">
        <v>732098</v>
      </c>
      <c r="F673" s="387">
        <v>732098</v>
      </c>
      <c r="G673">
        <v>0</v>
      </c>
    </row>
    <row r="674" spans="1:7">
      <c r="A674">
        <v>666</v>
      </c>
      <c r="B674">
        <v>46945</v>
      </c>
      <c r="C674" t="s">
        <v>796</v>
      </c>
      <c r="D674">
        <v>0</v>
      </c>
      <c r="E674" s="387">
        <v>149983</v>
      </c>
      <c r="F674" s="387">
        <v>149983</v>
      </c>
      <c r="G674">
        <v>0</v>
      </c>
    </row>
    <row r="675" spans="1:7">
      <c r="A675">
        <v>667</v>
      </c>
      <c r="B675">
        <v>46948</v>
      </c>
      <c r="C675" t="s">
        <v>797</v>
      </c>
      <c r="D675">
        <v>0</v>
      </c>
      <c r="E675" s="387">
        <v>95157</v>
      </c>
      <c r="F675" s="387">
        <v>95157</v>
      </c>
      <c r="G675">
        <v>0</v>
      </c>
    </row>
    <row r="676" spans="1:7">
      <c r="A676">
        <v>668</v>
      </c>
      <c r="B676">
        <v>46950</v>
      </c>
      <c r="C676" t="s">
        <v>798</v>
      </c>
      <c r="D676" s="387">
        <v>39888</v>
      </c>
      <c r="E676" s="387">
        <v>8519305.9499999993</v>
      </c>
      <c r="F676" s="387">
        <v>8609516.9499999993</v>
      </c>
      <c r="G676" s="387">
        <v>-50323</v>
      </c>
    </row>
    <row r="677" spans="1:7">
      <c r="A677">
        <v>669</v>
      </c>
      <c r="B677">
        <v>46952</v>
      </c>
      <c r="C677" t="s">
        <v>799</v>
      </c>
      <c r="D677" s="387">
        <v>-4602861.18</v>
      </c>
      <c r="E677" s="387">
        <v>26610105.710000001</v>
      </c>
      <c r="F677" s="387">
        <v>25359715.460000001</v>
      </c>
      <c r="G677" s="387">
        <v>-3352470.93</v>
      </c>
    </row>
    <row r="678" spans="1:7">
      <c r="A678">
        <v>670</v>
      </c>
      <c r="B678">
        <v>46953</v>
      </c>
      <c r="C678" t="s">
        <v>800</v>
      </c>
      <c r="D678">
        <v>0</v>
      </c>
      <c r="E678">
        <v>644.4</v>
      </c>
      <c r="F678">
        <v>644.4</v>
      </c>
      <c r="G678">
        <v>0</v>
      </c>
    </row>
    <row r="679" spans="1:7">
      <c r="A679">
        <v>671</v>
      </c>
      <c r="B679">
        <v>46954</v>
      </c>
      <c r="C679" t="s">
        <v>801</v>
      </c>
      <c r="D679" s="387">
        <v>-2258696.5</v>
      </c>
      <c r="E679" s="387">
        <v>37483805.710000001</v>
      </c>
      <c r="F679" s="387">
        <v>41936833.990000002</v>
      </c>
      <c r="G679" s="387">
        <v>-6711724.7800000003</v>
      </c>
    </row>
    <row r="680" spans="1:7">
      <c r="A680">
        <v>672</v>
      </c>
      <c r="B680">
        <v>46955</v>
      </c>
      <c r="C680" t="s">
        <v>802</v>
      </c>
      <c r="D680" s="387">
        <v>-2258696.52</v>
      </c>
      <c r="E680" s="387">
        <v>37374507.43</v>
      </c>
      <c r="F680" s="387">
        <v>41827535.68</v>
      </c>
      <c r="G680" s="387">
        <v>-6711724.7699999996</v>
      </c>
    </row>
    <row r="681" spans="1:7">
      <c r="A681">
        <v>673</v>
      </c>
      <c r="B681">
        <v>46956</v>
      </c>
      <c r="C681" t="s">
        <v>803</v>
      </c>
      <c r="D681" s="387">
        <v>-545232.19999999995</v>
      </c>
      <c r="E681" s="387">
        <v>12325124.84</v>
      </c>
      <c r="F681" s="387">
        <v>12683417.890000001</v>
      </c>
      <c r="G681" s="387">
        <v>-903525.25</v>
      </c>
    </row>
    <row r="682" spans="1:7">
      <c r="A682">
        <v>674</v>
      </c>
      <c r="B682">
        <v>46965</v>
      </c>
      <c r="C682" t="s">
        <v>804</v>
      </c>
      <c r="D682">
        <v>0</v>
      </c>
      <c r="E682" s="387">
        <v>1586252.58</v>
      </c>
      <c r="F682" s="387">
        <v>1586252.58</v>
      </c>
      <c r="G682">
        <v>0</v>
      </c>
    </row>
    <row r="683" spans="1:7">
      <c r="A683">
        <v>675</v>
      </c>
      <c r="B683">
        <v>46966</v>
      </c>
      <c r="C683" t="s">
        <v>805</v>
      </c>
      <c r="D683">
        <v>0</v>
      </c>
      <c r="E683" s="387">
        <v>1586252.58</v>
      </c>
      <c r="F683" s="387">
        <v>1586252.58</v>
      </c>
      <c r="G683">
        <v>0</v>
      </c>
    </row>
    <row r="684" spans="1:7">
      <c r="A684">
        <v>676</v>
      </c>
      <c r="B684">
        <v>46969</v>
      </c>
      <c r="C684" t="s">
        <v>806</v>
      </c>
      <c r="D684">
        <v>0</v>
      </c>
      <c r="E684" s="387">
        <v>31698087</v>
      </c>
      <c r="F684" s="387">
        <v>35080279</v>
      </c>
      <c r="G684" s="387">
        <v>-3382192</v>
      </c>
    </row>
    <row r="685" spans="1:7">
      <c r="A685">
        <v>677</v>
      </c>
      <c r="B685">
        <v>46970</v>
      </c>
      <c r="C685" t="s">
        <v>807</v>
      </c>
      <c r="D685" s="387">
        <v>-1729066</v>
      </c>
      <c r="E685" s="387">
        <v>647408</v>
      </c>
      <c r="F685">
        <v>0</v>
      </c>
      <c r="G685" s="387">
        <v>-1081658</v>
      </c>
    </row>
    <row r="686" spans="1:7">
      <c r="A686">
        <v>678</v>
      </c>
      <c r="B686">
        <v>46975</v>
      </c>
      <c r="C686" t="s">
        <v>808</v>
      </c>
      <c r="D686">
        <v>0</v>
      </c>
      <c r="E686" s="387">
        <v>54253.5</v>
      </c>
      <c r="F686" s="387">
        <v>7528499</v>
      </c>
      <c r="G686" s="387">
        <v>-7474245.5</v>
      </c>
    </row>
    <row r="687" spans="1:7">
      <c r="A687">
        <v>679</v>
      </c>
      <c r="B687">
        <v>46976</v>
      </c>
      <c r="C687" t="s">
        <v>809</v>
      </c>
      <c r="D687">
        <v>0</v>
      </c>
      <c r="E687" s="387">
        <v>22141</v>
      </c>
      <c r="F687" s="387">
        <v>22141</v>
      </c>
      <c r="G687">
        <v>0</v>
      </c>
    </row>
    <row r="688" spans="1:7">
      <c r="A688">
        <v>680</v>
      </c>
      <c r="B688">
        <v>46986</v>
      </c>
      <c r="C688" t="s">
        <v>810</v>
      </c>
      <c r="D688" s="387">
        <v>-152300000</v>
      </c>
      <c r="E688">
        <v>0</v>
      </c>
      <c r="F688" s="387">
        <v>954232000</v>
      </c>
      <c r="G688" s="387">
        <v>-1106532000</v>
      </c>
    </row>
    <row r="689" spans="1:7">
      <c r="A689">
        <v>681</v>
      </c>
      <c r="B689">
        <v>46987</v>
      </c>
      <c r="C689" t="s">
        <v>811</v>
      </c>
      <c r="D689">
        <v>0</v>
      </c>
      <c r="E689">
        <v>0</v>
      </c>
      <c r="F689" s="387">
        <v>33362640</v>
      </c>
      <c r="G689" s="387">
        <v>-33362640</v>
      </c>
    </row>
    <row r="690" spans="1:7">
      <c r="A690">
        <v>682</v>
      </c>
      <c r="B690">
        <v>47</v>
      </c>
      <c r="C690" t="s">
        <v>812</v>
      </c>
      <c r="D690" s="387">
        <v>-3641235748.8099999</v>
      </c>
      <c r="E690" s="387">
        <v>4424171466.3100004</v>
      </c>
      <c r="F690" s="387">
        <v>2618621138.9400001</v>
      </c>
      <c r="G690" s="387">
        <v>-1835685421.4400001</v>
      </c>
    </row>
    <row r="691" spans="1:7">
      <c r="A691">
        <v>683</v>
      </c>
      <c r="B691">
        <v>471</v>
      </c>
      <c r="C691" t="s">
        <v>813</v>
      </c>
      <c r="D691" s="387">
        <v>-80335031</v>
      </c>
      <c r="E691" s="387">
        <v>33161020</v>
      </c>
      <c r="F691" s="387">
        <v>5465769</v>
      </c>
      <c r="G691" s="387">
        <v>-52639780</v>
      </c>
    </row>
    <row r="692" spans="1:7">
      <c r="A692">
        <v>684</v>
      </c>
      <c r="B692">
        <v>47100</v>
      </c>
      <c r="C692" t="s">
        <v>813</v>
      </c>
      <c r="D692" s="387">
        <v>-80335031</v>
      </c>
      <c r="E692" s="387">
        <v>33161020</v>
      </c>
      <c r="F692" s="387">
        <v>5465769</v>
      </c>
      <c r="G692" s="387">
        <v>-52639780</v>
      </c>
    </row>
    <row r="693" spans="1:7">
      <c r="A693">
        <v>685</v>
      </c>
      <c r="B693">
        <v>472</v>
      </c>
      <c r="C693" t="s">
        <v>814</v>
      </c>
      <c r="D693" s="387">
        <v>-24840752</v>
      </c>
      <c r="E693">
        <v>0</v>
      </c>
      <c r="F693">
        <v>0</v>
      </c>
      <c r="G693" s="387">
        <v>-24840752</v>
      </c>
    </row>
    <row r="694" spans="1:7">
      <c r="A694">
        <v>686</v>
      </c>
      <c r="B694">
        <v>47200</v>
      </c>
      <c r="C694" t="s">
        <v>814</v>
      </c>
      <c r="D694" s="387">
        <v>-24840752</v>
      </c>
      <c r="E694">
        <v>0</v>
      </c>
      <c r="F694">
        <v>0</v>
      </c>
      <c r="G694" s="387">
        <v>-24840752</v>
      </c>
    </row>
    <row r="695" spans="1:7">
      <c r="A695">
        <v>687</v>
      </c>
      <c r="B695">
        <v>473</v>
      </c>
      <c r="C695" t="s">
        <v>815</v>
      </c>
      <c r="D695" s="387">
        <v>-3532903100.8099999</v>
      </c>
      <c r="E695" s="387">
        <v>4376162815.96</v>
      </c>
      <c r="F695" s="387">
        <v>2588875974.0100002</v>
      </c>
      <c r="G695" s="387">
        <v>-1745616258.8599999</v>
      </c>
    </row>
    <row r="696" spans="1:7">
      <c r="A696">
        <v>688</v>
      </c>
      <c r="B696">
        <v>47301</v>
      </c>
      <c r="C696" t="s">
        <v>816</v>
      </c>
      <c r="D696" s="387">
        <v>-275135443.50999999</v>
      </c>
      <c r="E696" s="387">
        <v>1554035587.9300001</v>
      </c>
      <c r="F696" s="387">
        <v>1440574186.3699999</v>
      </c>
      <c r="G696" s="387">
        <v>-161674041.94999999</v>
      </c>
    </row>
    <row r="697" spans="1:7">
      <c r="A697">
        <v>689</v>
      </c>
      <c r="B697">
        <v>47302</v>
      </c>
      <c r="C697" t="s">
        <v>817</v>
      </c>
      <c r="D697" s="387">
        <v>-19561610</v>
      </c>
      <c r="E697" s="387">
        <v>24833765</v>
      </c>
      <c r="F697" s="387">
        <v>9892298</v>
      </c>
      <c r="G697" s="387">
        <v>-4620143</v>
      </c>
    </row>
    <row r="698" spans="1:7">
      <c r="A698">
        <v>690</v>
      </c>
      <c r="B698">
        <v>47304</v>
      </c>
      <c r="C698" t="s">
        <v>818</v>
      </c>
      <c r="D698">
        <v>0</v>
      </c>
      <c r="E698">
        <v>0</v>
      </c>
      <c r="F698" s="387">
        <v>72514742.140000001</v>
      </c>
      <c r="G698" s="387">
        <v>-72514742.140000001</v>
      </c>
    </row>
    <row r="699" spans="1:7">
      <c r="A699">
        <v>691</v>
      </c>
      <c r="B699">
        <v>47305</v>
      </c>
      <c r="C699" t="s">
        <v>819</v>
      </c>
      <c r="D699">
        <v>0</v>
      </c>
      <c r="E699">
        <v>0</v>
      </c>
      <c r="F699" s="387">
        <v>7370000</v>
      </c>
      <c r="G699" s="387">
        <v>-7370000</v>
      </c>
    </row>
    <row r="700" spans="1:7">
      <c r="A700">
        <v>692</v>
      </c>
      <c r="B700">
        <v>47306</v>
      </c>
      <c r="C700" t="s">
        <v>820</v>
      </c>
      <c r="D700">
        <v>0</v>
      </c>
      <c r="E700">
        <v>0</v>
      </c>
      <c r="F700" s="387">
        <v>17232000</v>
      </c>
      <c r="G700" s="387">
        <v>-17232000</v>
      </c>
    </row>
    <row r="701" spans="1:7">
      <c r="A701">
        <v>693</v>
      </c>
      <c r="B701">
        <v>47310</v>
      </c>
      <c r="C701" t="s">
        <v>821</v>
      </c>
      <c r="D701">
        <v>0</v>
      </c>
      <c r="E701">
        <v>0</v>
      </c>
      <c r="F701" s="387">
        <v>2667500</v>
      </c>
      <c r="G701" s="387">
        <v>-2667500</v>
      </c>
    </row>
    <row r="702" spans="1:7">
      <c r="A702">
        <v>694</v>
      </c>
      <c r="B702">
        <v>47311</v>
      </c>
      <c r="C702" t="s">
        <v>822</v>
      </c>
      <c r="D702" s="387">
        <v>-636084496.04999995</v>
      </c>
      <c r="E702" s="387">
        <v>670862500.49000001</v>
      </c>
      <c r="F702" s="387">
        <v>401784406.36000001</v>
      </c>
      <c r="G702" s="387">
        <v>-367006401.92000002</v>
      </c>
    </row>
    <row r="703" spans="1:7">
      <c r="A703">
        <v>695</v>
      </c>
      <c r="B703">
        <v>47312</v>
      </c>
      <c r="C703" t="s">
        <v>823</v>
      </c>
      <c r="D703">
        <v>0</v>
      </c>
      <c r="E703" s="387">
        <v>134255254</v>
      </c>
      <c r="F703" s="387">
        <v>261204128</v>
      </c>
      <c r="G703" s="387">
        <v>-126948874</v>
      </c>
    </row>
    <row r="704" spans="1:7">
      <c r="A704">
        <v>696</v>
      </c>
      <c r="B704">
        <v>47331</v>
      </c>
      <c r="C704" t="s">
        <v>824</v>
      </c>
      <c r="D704" s="387">
        <v>-730607135.21000004</v>
      </c>
      <c r="E704" s="387">
        <v>290629236.52999997</v>
      </c>
      <c r="F704" s="387">
        <v>347614065.13999999</v>
      </c>
      <c r="G704" s="387">
        <v>-787591963.82000005</v>
      </c>
    </row>
    <row r="705" spans="1:7">
      <c r="A705">
        <v>697</v>
      </c>
      <c r="B705">
        <v>47332</v>
      </c>
      <c r="C705" t="s">
        <v>825</v>
      </c>
      <c r="D705" s="387">
        <v>-1421820336</v>
      </c>
      <c r="E705" s="387">
        <v>1385992133.77</v>
      </c>
      <c r="F705" s="387">
        <v>26348909</v>
      </c>
      <c r="G705" s="387">
        <v>-62177111.229999997</v>
      </c>
    </row>
    <row r="706" spans="1:7">
      <c r="A706">
        <v>698</v>
      </c>
      <c r="B706">
        <v>47333</v>
      </c>
      <c r="C706" t="s">
        <v>826</v>
      </c>
      <c r="D706" s="387">
        <v>-372529500</v>
      </c>
      <c r="E706" s="387">
        <v>312879393.24000001</v>
      </c>
      <c r="F706" s="387">
        <v>4500</v>
      </c>
      <c r="G706" s="387">
        <v>-59654606.759999998</v>
      </c>
    </row>
    <row r="707" spans="1:7">
      <c r="A707">
        <v>699</v>
      </c>
      <c r="B707">
        <v>47334</v>
      </c>
      <c r="C707" t="s">
        <v>827</v>
      </c>
      <c r="D707" s="387">
        <v>-39015261.880000003</v>
      </c>
      <c r="E707" s="387">
        <v>1471904</v>
      </c>
      <c r="F707" s="387">
        <v>1635489</v>
      </c>
      <c r="G707" s="387">
        <v>-39178846.880000003</v>
      </c>
    </row>
    <row r="708" spans="1:7">
      <c r="A708">
        <v>700</v>
      </c>
      <c r="B708">
        <v>47335</v>
      </c>
      <c r="C708" t="s">
        <v>828</v>
      </c>
      <c r="D708" s="387">
        <v>-8529741.5700000003</v>
      </c>
      <c r="E708">
        <v>0</v>
      </c>
      <c r="F708">
        <v>0</v>
      </c>
      <c r="G708" s="387">
        <v>-8529741.5700000003</v>
      </c>
    </row>
    <row r="709" spans="1:7">
      <c r="A709">
        <v>701</v>
      </c>
      <c r="B709">
        <v>47336</v>
      </c>
      <c r="C709" t="s">
        <v>829</v>
      </c>
      <c r="D709" s="387">
        <v>-29619576.59</v>
      </c>
      <c r="E709" s="387">
        <v>1203041</v>
      </c>
      <c r="F709" s="387">
        <v>33750</v>
      </c>
      <c r="G709" s="387">
        <v>-28450285.59</v>
      </c>
    </row>
    <row r="710" spans="1:7">
      <c r="A710">
        <v>702</v>
      </c>
      <c r="B710">
        <v>476</v>
      </c>
      <c r="C710" t="s">
        <v>830</v>
      </c>
      <c r="D710" s="387">
        <v>-3156865</v>
      </c>
      <c r="E710" s="387">
        <v>14847630.35</v>
      </c>
      <c r="F710" s="387">
        <v>24279395.93</v>
      </c>
      <c r="G710" s="387">
        <v>-12588630.58</v>
      </c>
    </row>
    <row r="711" spans="1:7">
      <c r="A711">
        <v>703</v>
      </c>
      <c r="B711">
        <v>47602</v>
      </c>
      <c r="C711" t="s">
        <v>831</v>
      </c>
      <c r="D711" s="387">
        <v>-1486806</v>
      </c>
      <c r="E711" s="387">
        <v>8399280</v>
      </c>
      <c r="F711" s="387">
        <v>7769540</v>
      </c>
      <c r="G711" s="387">
        <v>-857066</v>
      </c>
    </row>
    <row r="712" spans="1:7">
      <c r="A712">
        <v>704</v>
      </c>
      <c r="B712">
        <v>47605</v>
      </c>
      <c r="C712" t="s">
        <v>832</v>
      </c>
      <c r="D712">
        <v>0</v>
      </c>
      <c r="E712" s="387">
        <v>5807357.3499999996</v>
      </c>
      <c r="F712" s="387">
        <v>15721225</v>
      </c>
      <c r="G712" s="387">
        <v>-9913867.6500000004</v>
      </c>
    </row>
    <row r="713" spans="1:7">
      <c r="A713">
        <v>705</v>
      </c>
      <c r="B713">
        <v>47690</v>
      </c>
      <c r="C713" t="s">
        <v>833</v>
      </c>
      <c r="D713" s="387">
        <v>-1670059</v>
      </c>
      <c r="E713" s="387">
        <v>640993</v>
      </c>
      <c r="F713" s="387">
        <v>788630.93</v>
      </c>
      <c r="G713" s="387">
        <v>-1817696.93</v>
      </c>
    </row>
    <row r="714" spans="1:7">
      <c r="A714">
        <v>706</v>
      </c>
      <c r="B714">
        <v>48</v>
      </c>
      <c r="C714" t="s">
        <v>834</v>
      </c>
      <c r="D714" s="387">
        <v>-19304420146.75</v>
      </c>
      <c r="E714" s="387">
        <v>1564408528.4100001</v>
      </c>
      <c r="F714" s="387">
        <v>3282931028.54</v>
      </c>
      <c r="G714" s="387">
        <v>-21022942646.880001</v>
      </c>
    </row>
    <row r="715" spans="1:7">
      <c r="A715">
        <v>707</v>
      </c>
      <c r="B715">
        <v>481</v>
      </c>
      <c r="C715" t="s">
        <v>835</v>
      </c>
      <c r="D715" s="387">
        <v>-18397114938.009998</v>
      </c>
      <c r="E715" s="387">
        <v>522381025.05000001</v>
      </c>
      <c r="F715" s="387">
        <v>2397265210.1100001</v>
      </c>
      <c r="G715" s="387">
        <v>-20271999123.07</v>
      </c>
    </row>
    <row r="716" spans="1:7">
      <c r="A716">
        <v>708</v>
      </c>
      <c r="B716">
        <v>48100</v>
      </c>
      <c r="C716" t="s">
        <v>835</v>
      </c>
      <c r="D716" s="387">
        <v>-15256778509.620001</v>
      </c>
      <c r="E716" s="387">
        <v>381981482.20999998</v>
      </c>
      <c r="F716" s="387">
        <v>1705992190.5999999</v>
      </c>
      <c r="G716" s="387">
        <v>-16580789218.01</v>
      </c>
    </row>
    <row r="717" spans="1:7">
      <c r="A717">
        <v>709</v>
      </c>
      <c r="B717">
        <v>48114</v>
      </c>
      <c r="C717" t="s">
        <v>836</v>
      </c>
      <c r="D717" s="387">
        <v>-3140336428.3899999</v>
      </c>
      <c r="E717" s="387">
        <v>140137255.84</v>
      </c>
      <c r="F717" s="387">
        <v>691010732.50999999</v>
      </c>
      <c r="G717" s="387">
        <v>-3691209905.0599999</v>
      </c>
    </row>
    <row r="718" spans="1:7">
      <c r="A718">
        <v>710</v>
      </c>
      <c r="B718">
        <v>48116</v>
      </c>
      <c r="C718" t="s">
        <v>837</v>
      </c>
      <c r="D718">
        <v>0</v>
      </c>
      <c r="E718" s="387">
        <v>262287</v>
      </c>
      <c r="F718" s="387">
        <v>262287</v>
      </c>
      <c r="G718">
        <v>0</v>
      </c>
    </row>
    <row r="719" spans="1:7">
      <c r="A719">
        <v>711</v>
      </c>
      <c r="B719">
        <v>483</v>
      </c>
      <c r="C719" t="s">
        <v>838</v>
      </c>
      <c r="D719" s="387">
        <v>-907305208.74000001</v>
      </c>
      <c r="E719" s="387">
        <v>1042027503.36</v>
      </c>
      <c r="F719" s="387">
        <v>885665818.42999995</v>
      </c>
      <c r="G719" s="387">
        <v>-750943523.80999994</v>
      </c>
    </row>
    <row r="720" spans="1:7">
      <c r="A720">
        <v>712</v>
      </c>
      <c r="B720">
        <v>48300</v>
      </c>
      <c r="C720" t="s">
        <v>839</v>
      </c>
      <c r="D720" s="387">
        <v>-907305208.74000001</v>
      </c>
      <c r="E720" s="387">
        <v>1042027503.36</v>
      </c>
      <c r="F720" s="387">
        <v>885665818.42999995</v>
      </c>
      <c r="G720" s="387">
        <v>-750943523.80999994</v>
      </c>
    </row>
    <row r="721" spans="1:7">
      <c r="A721">
        <v>713</v>
      </c>
      <c r="B721">
        <v>50</v>
      </c>
      <c r="C721" t="s">
        <v>840</v>
      </c>
      <c r="D721" s="387">
        <v>15248604.73</v>
      </c>
      <c r="E721" s="387">
        <v>56492560047.080002</v>
      </c>
      <c r="F721" s="387">
        <v>56344326343.510002</v>
      </c>
      <c r="G721" s="387">
        <v>163482308.30000001</v>
      </c>
    </row>
    <row r="722" spans="1:7">
      <c r="A722">
        <v>714</v>
      </c>
      <c r="B722">
        <v>501</v>
      </c>
      <c r="C722" t="s">
        <v>841</v>
      </c>
      <c r="D722" s="387">
        <v>15248604.73</v>
      </c>
      <c r="E722" s="387">
        <v>56492560047.080002</v>
      </c>
      <c r="F722" s="387">
        <v>56344326343.510002</v>
      </c>
      <c r="G722" s="387">
        <v>163482308.30000001</v>
      </c>
    </row>
    <row r="723" spans="1:7">
      <c r="A723">
        <v>715</v>
      </c>
      <c r="B723">
        <v>50101</v>
      </c>
      <c r="C723" t="s">
        <v>842</v>
      </c>
      <c r="D723" s="387">
        <v>13735111.93</v>
      </c>
      <c r="E723" s="387">
        <v>45968358676.800003</v>
      </c>
      <c r="F723" s="387">
        <v>45827194585.080002</v>
      </c>
      <c r="G723" s="387">
        <v>154899203.65000001</v>
      </c>
    </row>
    <row r="724" spans="1:7">
      <c r="A724">
        <v>716</v>
      </c>
      <c r="B724">
        <v>50105</v>
      </c>
      <c r="C724" t="s">
        <v>843</v>
      </c>
      <c r="D724" s="387">
        <v>12249.47</v>
      </c>
      <c r="E724" s="387">
        <v>4254882941.21</v>
      </c>
      <c r="F724" s="387">
        <v>4254850867.6799998</v>
      </c>
      <c r="G724" s="387">
        <v>44323</v>
      </c>
    </row>
    <row r="725" spans="1:7">
      <c r="A725">
        <v>717</v>
      </c>
      <c r="B725">
        <v>50110</v>
      </c>
      <c r="C725" t="s">
        <v>844</v>
      </c>
      <c r="D725" s="387">
        <v>1501243.33</v>
      </c>
      <c r="E725" s="387">
        <v>6269318429.0699997</v>
      </c>
      <c r="F725" s="387">
        <v>6262280890.75</v>
      </c>
      <c r="G725" s="387">
        <v>8538781.6500000004</v>
      </c>
    </row>
    <row r="726" spans="1:7">
      <c r="A726">
        <v>718</v>
      </c>
      <c r="B726">
        <v>51</v>
      </c>
      <c r="C726" t="s">
        <v>845</v>
      </c>
      <c r="D726" s="387">
        <v>-5769413</v>
      </c>
      <c r="E726" s="387">
        <v>1835912</v>
      </c>
      <c r="F726" s="387">
        <v>15366679</v>
      </c>
      <c r="G726" s="387">
        <v>-19300180</v>
      </c>
    </row>
    <row r="727" spans="1:7">
      <c r="A727">
        <v>719</v>
      </c>
      <c r="B727">
        <v>512</v>
      </c>
      <c r="C727" t="s">
        <v>846</v>
      </c>
      <c r="D727" s="387">
        <v>-5769413</v>
      </c>
      <c r="E727" s="387">
        <v>1835912</v>
      </c>
      <c r="F727" s="387">
        <v>15366679</v>
      </c>
      <c r="G727" s="387">
        <v>-19300180</v>
      </c>
    </row>
    <row r="728" spans="1:7">
      <c r="A728">
        <v>720</v>
      </c>
      <c r="B728">
        <v>51265</v>
      </c>
      <c r="C728" t="s">
        <v>847</v>
      </c>
      <c r="D728" s="387">
        <v>-3106604</v>
      </c>
      <c r="E728" s="387">
        <v>988562</v>
      </c>
      <c r="F728" s="387">
        <v>8274395</v>
      </c>
      <c r="G728" s="387">
        <v>-10392437</v>
      </c>
    </row>
    <row r="729" spans="1:7">
      <c r="A729">
        <v>721</v>
      </c>
      <c r="B729">
        <v>51266</v>
      </c>
      <c r="C729" t="s">
        <v>848</v>
      </c>
      <c r="D729" s="387">
        <v>-2662809</v>
      </c>
      <c r="E729" s="387">
        <v>847350</v>
      </c>
      <c r="F729" s="387">
        <v>7092284</v>
      </c>
      <c r="G729" s="387">
        <v>-8907743</v>
      </c>
    </row>
    <row r="730" spans="1:7">
      <c r="A730">
        <v>722</v>
      </c>
      <c r="B730">
        <v>52</v>
      </c>
      <c r="C730" t="s">
        <v>849</v>
      </c>
      <c r="D730" s="387">
        <v>-403269895</v>
      </c>
      <c r="E730" s="387">
        <v>57952791</v>
      </c>
      <c r="F730" s="387">
        <v>20560192</v>
      </c>
      <c r="G730" s="387">
        <v>-365877296</v>
      </c>
    </row>
    <row r="731" spans="1:7">
      <c r="A731">
        <v>723</v>
      </c>
      <c r="B731">
        <v>526</v>
      </c>
      <c r="C731" t="s">
        <v>850</v>
      </c>
      <c r="D731" s="387">
        <v>-403269895</v>
      </c>
      <c r="E731" s="387">
        <v>57952791</v>
      </c>
      <c r="F731" s="387">
        <v>20560192</v>
      </c>
      <c r="G731" s="387">
        <v>-365877296</v>
      </c>
    </row>
    <row r="732" spans="1:7">
      <c r="A732">
        <v>724</v>
      </c>
      <c r="B732">
        <v>52600</v>
      </c>
      <c r="C732" t="s">
        <v>850</v>
      </c>
      <c r="D732" s="387">
        <v>-403269895</v>
      </c>
      <c r="E732" s="387">
        <v>57952791</v>
      </c>
      <c r="F732" s="387">
        <v>20560192</v>
      </c>
      <c r="G732" s="387">
        <v>-365877296</v>
      </c>
    </row>
    <row r="733" spans="1:7">
      <c r="A733">
        <v>725</v>
      </c>
      <c r="B733">
        <v>53</v>
      </c>
      <c r="C733" t="s">
        <v>851</v>
      </c>
      <c r="D733" s="387">
        <v>-225204395</v>
      </c>
      <c r="E733" s="387">
        <v>15642319</v>
      </c>
      <c r="F733">
        <v>0</v>
      </c>
      <c r="G733" s="387">
        <v>-209562076</v>
      </c>
    </row>
    <row r="734" spans="1:7">
      <c r="A734">
        <v>726</v>
      </c>
      <c r="B734">
        <v>534</v>
      </c>
      <c r="C734" t="s">
        <v>852</v>
      </c>
      <c r="D734" s="387">
        <v>-225204395</v>
      </c>
      <c r="E734" s="387">
        <v>15642319</v>
      </c>
      <c r="F734">
        <v>0</v>
      </c>
      <c r="G734" s="387">
        <v>-209562076</v>
      </c>
    </row>
    <row r="735" spans="1:7">
      <c r="A735">
        <v>727</v>
      </c>
      <c r="B735">
        <v>53401</v>
      </c>
      <c r="C735" t="s">
        <v>853</v>
      </c>
      <c r="D735" s="387">
        <v>-121263905</v>
      </c>
      <c r="E735" s="387">
        <v>8422869</v>
      </c>
      <c r="F735">
        <v>0</v>
      </c>
      <c r="G735" s="387">
        <v>-112841036</v>
      </c>
    </row>
    <row r="736" spans="1:7">
      <c r="A736">
        <v>728</v>
      </c>
      <c r="B736">
        <v>53402</v>
      </c>
      <c r="C736" t="s">
        <v>854</v>
      </c>
      <c r="D736" s="387">
        <v>-103940490</v>
      </c>
      <c r="E736" s="387">
        <v>7219450</v>
      </c>
      <c r="F736">
        <v>0</v>
      </c>
      <c r="G736" s="387">
        <v>-96721040</v>
      </c>
    </row>
    <row r="737" spans="1:7">
      <c r="A737">
        <v>729</v>
      </c>
      <c r="B737">
        <v>54</v>
      </c>
      <c r="C737" t="s">
        <v>855</v>
      </c>
      <c r="D737" s="387">
        <v>-96916443</v>
      </c>
      <c r="E737" s="387">
        <v>33152437</v>
      </c>
      <c r="F737">
        <v>0</v>
      </c>
      <c r="G737" s="387">
        <v>-63764006</v>
      </c>
    </row>
    <row r="738" spans="1:7">
      <c r="A738">
        <v>730</v>
      </c>
      <c r="B738">
        <v>542</v>
      </c>
      <c r="C738" t="s">
        <v>856</v>
      </c>
      <c r="D738" s="387">
        <v>-96916443</v>
      </c>
      <c r="E738" s="387">
        <v>33152437</v>
      </c>
      <c r="F738">
        <v>0</v>
      </c>
      <c r="G738" s="387">
        <v>-63764006</v>
      </c>
    </row>
    <row r="739" spans="1:7">
      <c r="A739">
        <v>731</v>
      </c>
      <c r="B739">
        <v>54201</v>
      </c>
      <c r="C739" t="s">
        <v>857</v>
      </c>
      <c r="D739" s="387">
        <v>-96916443</v>
      </c>
      <c r="E739" s="387">
        <v>33152437</v>
      </c>
      <c r="F739">
        <v>0</v>
      </c>
      <c r="G739" s="387">
        <v>-63764006</v>
      </c>
    </row>
    <row r="740" spans="1:7">
      <c r="A740">
        <v>732</v>
      </c>
      <c r="B740">
        <v>55</v>
      </c>
      <c r="C740" t="s">
        <v>858</v>
      </c>
      <c r="D740" s="387">
        <v>-17308384205.049999</v>
      </c>
      <c r="E740" s="387">
        <v>2642630508.3299999</v>
      </c>
      <c r="F740" s="387">
        <v>5923277011.4499998</v>
      </c>
      <c r="G740" s="387">
        <v>-20589030708.169998</v>
      </c>
    </row>
    <row r="741" spans="1:7">
      <c r="A741">
        <v>733</v>
      </c>
      <c r="B741">
        <v>551</v>
      </c>
      <c r="C741" t="s">
        <v>859</v>
      </c>
      <c r="D741" s="387">
        <v>-2192836.08</v>
      </c>
      <c r="E741" s="387">
        <v>2090995.5</v>
      </c>
      <c r="F741" s="387">
        <v>44833473.299999997</v>
      </c>
      <c r="G741" s="387">
        <v>-44935313.880000003</v>
      </c>
    </row>
    <row r="742" spans="1:7">
      <c r="A742">
        <v>734</v>
      </c>
      <c r="B742">
        <v>55100</v>
      </c>
      <c r="C742" t="s">
        <v>860</v>
      </c>
      <c r="D742">
        <v>0</v>
      </c>
      <c r="E742">
        <v>0</v>
      </c>
      <c r="F742" s="387">
        <v>44129729.799999997</v>
      </c>
      <c r="G742" s="387">
        <v>-44129729.799999997</v>
      </c>
    </row>
    <row r="743" spans="1:7">
      <c r="A743">
        <v>735</v>
      </c>
      <c r="B743">
        <v>55101</v>
      </c>
      <c r="C743" t="s">
        <v>861</v>
      </c>
      <c r="D743">
        <v>0</v>
      </c>
      <c r="E743" s="387">
        <v>460974.96</v>
      </c>
      <c r="F743" s="387">
        <v>460974.96</v>
      </c>
      <c r="G743">
        <v>0</v>
      </c>
    </row>
    <row r="744" spans="1:7">
      <c r="A744">
        <v>736</v>
      </c>
      <c r="B744">
        <v>55103</v>
      </c>
      <c r="C744" t="s">
        <v>862</v>
      </c>
      <c r="D744" s="387">
        <v>-2192836.08</v>
      </c>
      <c r="E744" s="387">
        <v>1630020.54</v>
      </c>
      <c r="F744" s="387">
        <v>242768.54</v>
      </c>
      <c r="G744" s="387">
        <v>-805584.08</v>
      </c>
    </row>
    <row r="745" spans="1:7">
      <c r="A745">
        <v>737</v>
      </c>
      <c r="B745">
        <v>553</v>
      </c>
      <c r="C745" t="s">
        <v>863</v>
      </c>
      <c r="D745" s="387">
        <v>-711005098.78999996</v>
      </c>
      <c r="E745" s="387">
        <v>171801319</v>
      </c>
      <c r="F745" s="387">
        <v>171801319</v>
      </c>
      <c r="G745" s="387">
        <v>-711005098.78999996</v>
      </c>
    </row>
    <row r="746" spans="1:7">
      <c r="A746">
        <v>738</v>
      </c>
      <c r="B746">
        <v>55300</v>
      </c>
      <c r="C746" t="s">
        <v>863</v>
      </c>
      <c r="D746" s="387">
        <v>-673242352</v>
      </c>
      <c r="E746">
        <v>0</v>
      </c>
      <c r="F746">
        <v>0</v>
      </c>
      <c r="G746" s="387">
        <v>-673242352</v>
      </c>
    </row>
    <row r="747" spans="1:7">
      <c r="A747">
        <v>739</v>
      </c>
      <c r="B747">
        <v>55302</v>
      </c>
      <c r="C747" t="s">
        <v>864</v>
      </c>
      <c r="D747" s="387">
        <v>-2350618.44</v>
      </c>
      <c r="E747">
        <v>0</v>
      </c>
      <c r="F747">
        <v>0</v>
      </c>
      <c r="G747" s="387">
        <v>-2350618.44</v>
      </c>
    </row>
    <row r="748" spans="1:7">
      <c r="A748">
        <v>740</v>
      </c>
      <c r="B748">
        <v>55306</v>
      </c>
      <c r="C748" t="s">
        <v>865</v>
      </c>
      <c r="D748">
        <v>0</v>
      </c>
      <c r="E748" s="387">
        <v>171801319</v>
      </c>
      <c r="F748" s="387">
        <v>171801319</v>
      </c>
      <c r="G748">
        <v>0</v>
      </c>
    </row>
    <row r="749" spans="1:7">
      <c r="A749">
        <v>741</v>
      </c>
      <c r="B749">
        <v>55308</v>
      </c>
      <c r="C749" t="s">
        <v>866</v>
      </c>
      <c r="D749" s="387">
        <v>-35412128.350000001</v>
      </c>
      <c r="E749">
        <v>0</v>
      </c>
      <c r="F749">
        <v>0</v>
      </c>
      <c r="G749" s="387">
        <v>-35412128.350000001</v>
      </c>
    </row>
    <row r="750" spans="1:7">
      <c r="A750">
        <v>742</v>
      </c>
      <c r="B750">
        <v>555</v>
      </c>
      <c r="C750" t="s">
        <v>867</v>
      </c>
      <c r="D750" s="387">
        <v>-16595186270.18</v>
      </c>
      <c r="E750" s="387">
        <v>2468738193.8299999</v>
      </c>
      <c r="F750" s="387">
        <v>5706642219.1499996</v>
      </c>
      <c r="G750" s="387">
        <v>-19833090295.5</v>
      </c>
    </row>
    <row r="751" spans="1:7">
      <c r="A751">
        <v>743</v>
      </c>
      <c r="B751">
        <v>55500</v>
      </c>
      <c r="C751" t="s">
        <v>868</v>
      </c>
      <c r="D751" s="387">
        <v>1956665311.5599999</v>
      </c>
      <c r="E751" s="387">
        <v>618115794.42999995</v>
      </c>
      <c r="F751" s="387">
        <v>13450500</v>
      </c>
      <c r="G751" s="387">
        <v>2561330605.9899998</v>
      </c>
    </row>
    <row r="752" spans="1:7">
      <c r="A752">
        <v>744</v>
      </c>
      <c r="B752">
        <v>55501</v>
      </c>
      <c r="C752" t="s">
        <v>869</v>
      </c>
      <c r="D752" s="387">
        <v>-10702198052.110001</v>
      </c>
      <c r="E752" s="387">
        <v>1152702548.4400001</v>
      </c>
      <c r="F752" s="387">
        <v>3694092508.0700002</v>
      </c>
      <c r="G752" s="387">
        <v>-13243588011.74</v>
      </c>
    </row>
    <row r="753" spans="1:7">
      <c r="A753">
        <v>745</v>
      </c>
      <c r="B753">
        <v>55502</v>
      </c>
      <c r="C753" t="s">
        <v>870</v>
      </c>
      <c r="D753">
        <v>0</v>
      </c>
      <c r="E753" s="387">
        <v>283941.96000000002</v>
      </c>
      <c r="F753" s="387">
        <v>283941.96000000002</v>
      </c>
      <c r="G753">
        <v>0</v>
      </c>
    </row>
    <row r="754" spans="1:7">
      <c r="A754">
        <v>746</v>
      </c>
      <c r="B754">
        <v>55504</v>
      </c>
      <c r="C754" t="s">
        <v>871</v>
      </c>
      <c r="D754" s="387">
        <v>-230004843.50999999</v>
      </c>
      <c r="E754" s="387">
        <v>4566909</v>
      </c>
      <c r="F754" s="387">
        <v>4566909</v>
      </c>
      <c r="G754" s="387">
        <v>-230004843.50999999</v>
      </c>
    </row>
    <row r="755" spans="1:7">
      <c r="A755">
        <v>747</v>
      </c>
      <c r="B755">
        <v>55505</v>
      </c>
      <c r="C755" t="s">
        <v>872</v>
      </c>
      <c r="D755" s="387">
        <v>-7614365220.6400003</v>
      </c>
      <c r="E755" s="387">
        <v>693069000</v>
      </c>
      <c r="F755" s="387">
        <v>1994248360.1199999</v>
      </c>
      <c r="G755" s="387">
        <v>-8915544580.7600002</v>
      </c>
    </row>
    <row r="756" spans="1:7">
      <c r="A756">
        <v>748</v>
      </c>
      <c r="B756">
        <v>55506</v>
      </c>
      <c r="C756" t="s">
        <v>873</v>
      </c>
      <c r="D756" s="387">
        <v>-5283465.4800000004</v>
      </c>
      <c r="E756">
        <v>0</v>
      </c>
      <c r="F756">
        <v>0</v>
      </c>
      <c r="G756" s="387">
        <v>-5283465.4800000004</v>
      </c>
    </row>
    <row r="757" spans="1:7">
      <c r="A757">
        <v>749</v>
      </c>
      <c r="B757">
        <v>58</v>
      </c>
      <c r="C757" t="s">
        <v>874</v>
      </c>
      <c r="D757" s="387">
        <v>-6212284055.3900003</v>
      </c>
      <c r="E757" s="387">
        <v>134745552062.59</v>
      </c>
      <c r="F757" s="387">
        <v>131286896475.89</v>
      </c>
      <c r="G757" s="387">
        <v>-2753628468.6900001</v>
      </c>
    </row>
    <row r="758" spans="1:7">
      <c r="A758">
        <v>750</v>
      </c>
      <c r="B758">
        <v>581</v>
      </c>
      <c r="C758" t="s">
        <v>875</v>
      </c>
      <c r="D758" s="387">
        <v>-1300779237.8499999</v>
      </c>
      <c r="E758" s="387">
        <v>131286896475.89</v>
      </c>
      <c r="F758" s="387">
        <v>129986117238.03999</v>
      </c>
      <c r="G758">
        <v>0</v>
      </c>
    </row>
    <row r="759" spans="1:7">
      <c r="A759">
        <v>751</v>
      </c>
      <c r="B759">
        <v>58100</v>
      </c>
      <c r="C759" t="s">
        <v>875</v>
      </c>
      <c r="D759" s="387">
        <v>-1300779237.8499999</v>
      </c>
      <c r="E759" s="387">
        <v>131286896475.89</v>
      </c>
      <c r="F759" s="387">
        <v>129986117238.03999</v>
      </c>
      <c r="G759">
        <v>0</v>
      </c>
    </row>
    <row r="760" spans="1:7">
      <c r="A760">
        <v>752</v>
      </c>
      <c r="B760">
        <v>582</v>
      </c>
      <c r="C760" t="s">
        <v>876</v>
      </c>
      <c r="D760" s="387">
        <v>-4911504817.54</v>
      </c>
      <c r="E760" s="387">
        <v>3458655586.6999998</v>
      </c>
      <c r="F760" s="387">
        <v>1300779237.8499999</v>
      </c>
      <c r="G760" s="387">
        <v>-2753628468.6900001</v>
      </c>
    </row>
    <row r="761" spans="1:7">
      <c r="A761">
        <v>753</v>
      </c>
      <c r="B761">
        <v>58210</v>
      </c>
      <c r="C761" t="s">
        <v>876</v>
      </c>
      <c r="D761" s="387">
        <v>-6050355072.54</v>
      </c>
      <c r="E761" s="387">
        <v>3231537466.6999998</v>
      </c>
      <c r="F761" s="387">
        <v>1300779237.8499999</v>
      </c>
      <c r="G761" s="387">
        <v>-4119596843.6900001</v>
      </c>
    </row>
    <row r="762" spans="1:7">
      <c r="A762">
        <v>754</v>
      </c>
      <c r="B762">
        <v>58212</v>
      </c>
      <c r="C762" t="s">
        <v>877</v>
      </c>
      <c r="D762" s="387">
        <v>1138850255</v>
      </c>
      <c r="E762" s="387">
        <v>227118120</v>
      </c>
      <c r="F762">
        <v>0</v>
      </c>
      <c r="G762" s="387">
        <v>1365968375</v>
      </c>
    </row>
    <row r="763" spans="1:7">
      <c r="A763">
        <v>755</v>
      </c>
      <c r="B763">
        <v>59</v>
      </c>
      <c r="C763" t="s">
        <v>878</v>
      </c>
      <c r="D763" s="387">
        <v>-19226675240</v>
      </c>
      <c r="E763" s="387">
        <v>2315813802</v>
      </c>
      <c r="F763" s="387">
        <v>4631627604</v>
      </c>
      <c r="G763" s="387">
        <v>-21542489042</v>
      </c>
    </row>
    <row r="764" spans="1:7">
      <c r="A764">
        <v>756</v>
      </c>
      <c r="B764">
        <v>591</v>
      </c>
      <c r="C764" t="s">
        <v>878</v>
      </c>
      <c r="D764" s="387">
        <v>-4411313950</v>
      </c>
      <c r="E764" s="387">
        <v>2315813802</v>
      </c>
      <c r="F764" s="387">
        <v>2565184022</v>
      </c>
      <c r="G764" s="387">
        <v>-4660684170</v>
      </c>
    </row>
    <row r="765" spans="1:7">
      <c r="A765">
        <v>757</v>
      </c>
      <c r="B765">
        <v>59100</v>
      </c>
      <c r="C765" t="s">
        <v>879</v>
      </c>
      <c r="D765" s="387">
        <v>-4411313950</v>
      </c>
      <c r="E765">
        <v>0</v>
      </c>
      <c r="F765" s="387">
        <v>249370220</v>
      </c>
      <c r="G765" s="387">
        <v>-4660684170</v>
      </c>
    </row>
    <row r="766" spans="1:7">
      <c r="A766">
        <v>758</v>
      </c>
      <c r="B766">
        <v>59110</v>
      </c>
      <c r="C766" t="s">
        <v>880</v>
      </c>
      <c r="D766">
        <v>0</v>
      </c>
      <c r="E766" s="387">
        <v>2315813802</v>
      </c>
      <c r="F766" s="387">
        <v>2315813802</v>
      </c>
      <c r="G766">
        <v>0</v>
      </c>
    </row>
    <row r="767" spans="1:7">
      <c r="A767">
        <v>759</v>
      </c>
      <c r="B767">
        <v>592</v>
      </c>
      <c r="C767" t="s">
        <v>881</v>
      </c>
      <c r="D767" s="387">
        <v>-14815361290</v>
      </c>
      <c r="E767">
        <v>0</v>
      </c>
      <c r="F767" s="387">
        <v>2066443582</v>
      </c>
      <c r="G767" s="387">
        <v>-16881804872</v>
      </c>
    </row>
    <row r="768" spans="1:7">
      <c r="A768">
        <v>760</v>
      </c>
      <c r="B768">
        <v>59202</v>
      </c>
      <c r="C768" t="s">
        <v>882</v>
      </c>
      <c r="D768" s="387">
        <v>-14815361290</v>
      </c>
      <c r="E768">
        <v>0</v>
      </c>
      <c r="F768" s="387">
        <v>2066443582</v>
      </c>
      <c r="G768" s="387">
        <v>-16881804872</v>
      </c>
    </row>
    <row r="769" spans="1:7">
      <c r="A769">
        <v>761</v>
      </c>
      <c r="B769">
        <v>61</v>
      </c>
      <c r="C769" t="s">
        <v>883</v>
      </c>
      <c r="D769">
        <v>0</v>
      </c>
      <c r="E769" s="387">
        <v>280835892955.71997</v>
      </c>
      <c r="F769" s="387">
        <v>402221021831.38</v>
      </c>
      <c r="G769" s="387">
        <v>-121385128875.66</v>
      </c>
    </row>
    <row r="770" spans="1:7">
      <c r="A770">
        <v>762</v>
      </c>
      <c r="B770">
        <v>612</v>
      </c>
      <c r="C770" t="s">
        <v>884</v>
      </c>
      <c r="D770">
        <v>0</v>
      </c>
      <c r="E770" s="387">
        <v>254263124332.19</v>
      </c>
      <c r="F770" s="387">
        <v>371234603529.59998</v>
      </c>
      <c r="G770" s="387">
        <v>-116971479197.41</v>
      </c>
    </row>
    <row r="771" spans="1:7">
      <c r="A771">
        <v>763</v>
      </c>
      <c r="B771">
        <v>61210</v>
      </c>
      <c r="C771" t="s">
        <v>885</v>
      </c>
      <c r="D771">
        <v>0</v>
      </c>
      <c r="E771" s="387">
        <v>5767024655.4099998</v>
      </c>
      <c r="F771" s="387">
        <v>23851870202.610001</v>
      </c>
      <c r="G771" s="387">
        <v>-18084845547.200001</v>
      </c>
    </row>
    <row r="772" spans="1:7">
      <c r="A772">
        <v>764</v>
      </c>
      <c r="B772">
        <v>61211</v>
      </c>
      <c r="C772" t="s">
        <v>886</v>
      </c>
      <c r="D772">
        <v>0</v>
      </c>
      <c r="E772" s="387">
        <v>10668907.16</v>
      </c>
      <c r="F772" s="387">
        <v>586271142.45000005</v>
      </c>
      <c r="G772" s="387">
        <v>-575602235.28999996</v>
      </c>
    </row>
    <row r="773" spans="1:7">
      <c r="A773">
        <v>765</v>
      </c>
      <c r="B773">
        <v>61212</v>
      </c>
      <c r="C773" t="s">
        <v>887</v>
      </c>
      <c r="D773">
        <v>0</v>
      </c>
      <c r="E773" s="387">
        <v>152254793.38</v>
      </c>
      <c r="F773" s="387">
        <v>13276185970.049999</v>
      </c>
      <c r="G773" s="387">
        <v>-13123931176.67</v>
      </c>
    </row>
    <row r="774" spans="1:7">
      <c r="A774">
        <v>766</v>
      </c>
      <c r="B774">
        <v>61214</v>
      </c>
      <c r="C774" t="s">
        <v>888</v>
      </c>
      <c r="D774">
        <v>0</v>
      </c>
      <c r="E774" s="387">
        <v>95170397.909999996</v>
      </c>
      <c r="F774" s="387">
        <v>7089367485.2200003</v>
      </c>
      <c r="G774" s="387">
        <v>-6994197087.3100004</v>
      </c>
    </row>
    <row r="775" spans="1:7">
      <c r="A775">
        <v>767</v>
      </c>
      <c r="B775">
        <v>61216</v>
      </c>
      <c r="C775" t="s">
        <v>889</v>
      </c>
      <c r="D775">
        <v>0</v>
      </c>
      <c r="E775" s="387">
        <v>4759420557.6099997</v>
      </c>
      <c r="F775" s="387">
        <v>2830109582.2600002</v>
      </c>
      <c r="G775" s="387">
        <v>1929310975.3499999</v>
      </c>
    </row>
    <row r="776" spans="1:7">
      <c r="A776">
        <v>768</v>
      </c>
      <c r="B776">
        <v>61217</v>
      </c>
      <c r="C776" t="s">
        <v>890</v>
      </c>
      <c r="D776">
        <v>0</v>
      </c>
      <c r="E776" s="387">
        <v>749509999.41999996</v>
      </c>
      <c r="F776" s="387">
        <v>69936022.769999996</v>
      </c>
      <c r="G776" s="387">
        <v>679573976.64999998</v>
      </c>
    </row>
    <row r="777" spans="1:7">
      <c r="A777">
        <v>769</v>
      </c>
      <c r="B777">
        <v>61219</v>
      </c>
      <c r="C777" t="s">
        <v>891</v>
      </c>
      <c r="D777">
        <v>0</v>
      </c>
      <c r="E777" s="387">
        <v>23851870203.68</v>
      </c>
      <c r="F777" s="387">
        <v>5767024656.4200001</v>
      </c>
      <c r="G777" s="387">
        <v>18084845547.259998</v>
      </c>
    </row>
    <row r="778" spans="1:7">
      <c r="A778">
        <v>770</v>
      </c>
      <c r="B778">
        <v>61220</v>
      </c>
      <c r="C778" t="s">
        <v>892</v>
      </c>
      <c r="D778">
        <v>0</v>
      </c>
      <c r="E778" s="387">
        <v>145603779.28</v>
      </c>
      <c r="F778" s="387">
        <v>696283440.57000005</v>
      </c>
      <c r="G778" s="387">
        <v>-550679661.28999996</v>
      </c>
    </row>
    <row r="779" spans="1:7">
      <c r="A779">
        <v>771</v>
      </c>
      <c r="B779">
        <v>61221</v>
      </c>
      <c r="C779" t="s">
        <v>893</v>
      </c>
      <c r="D779">
        <v>0</v>
      </c>
      <c r="E779" s="387">
        <v>418965.37</v>
      </c>
      <c r="F779" s="387">
        <v>24969087.620000001</v>
      </c>
      <c r="G779" s="387">
        <v>-24550122.25</v>
      </c>
    </row>
    <row r="780" spans="1:7">
      <c r="A780">
        <v>772</v>
      </c>
      <c r="B780">
        <v>61222</v>
      </c>
      <c r="C780" t="s">
        <v>894</v>
      </c>
      <c r="D780">
        <v>0</v>
      </c>
      <c r="E780" s="387">
        <v>9575814.9299999997</v>
      </c>
      <c r="F780" s="387">
        <v>402921609.55000001</v>
      </c>
      <c r="G780" s="387">
        <v>-393345794.62</v>
      </c>
    </row>
    <row r="781" spans="1:7">
      <c r="A781">
        <v>773</v>
      </c>
      <c r="B781">
        <v>61224</v>
      </c>
      <c r="C781" t="s">
        <v>895</v>
      </c>
      <c r="D781">
        <v>0</v>
      </c>
      <c r="E781" s="387">
        <v>5066264.88</v>
      </c>
      <c r="F781" s="387">
        <v>196021235.72</v>
      </c>
      <c r="G781" s="387">
        <v>-190954970.84</v>
      </c>
    </row>
    <row r="782" spans="1:7">
      <c r="A782">
        <v>774</v>
      </c>
      <c r="B782">
        <v>61226</v>
      </c>
      <c r="C782" t="s">
        <v>896</v>
      </c>
      <c r="D782">
        <v>0</v>
      </c>
      <c r="E782" s="387">
        <v>96390981.859999999</v>
      </c>
      <c r="F782" s="387">
        <v>63525551.600000001</v>
      </c>
      <c r="G782" s="387">
        <v>32865430.260000002</v>
      </c>
    </row>
    <row r="783" spans="1:7">
      <c r="A783">
        <v>775</v>
      </c>
      <c r="B783">
        <v>61227</v>
      </c>
      <c r="C783" t="s">
        <v>897</v>
      </c>
      <c r="D783">
        <v>0</v>
      </c>
      <c r="E783" s="387">
        <v>34151753.259999998</v>
      </c>
      <c r="F783" s="387">
        <v>8845957.1400000006</v>
      </c>
      <c r="G783" s="387">
        <v>25305796.120000001</v>
      </c>
    </row>
    <row r="784" spans="1:7">
      <c r="A784">
        <v>776</v>
      </c>
      <c r="B784">
        <v>61229</v>
      </c>
      <c r="C784" t="s">
        <v>898</v>
      </c>
      <c r="D784">
        <v>0</v>
      </c>
      <c r="E784" s="387">
        <v>696283441.61000001</v>
      </c>
      <c r="F784" s="387">
        <v>145603780.28999999</v>
      </c>
      <c r="G784" s="387">
        <v>550679661.32000005</v>
      </c>
    </row>
    <row r="785" spans="1:7">
      <c r="A785">
        <v>777</v>
      </c>
      <c r="B785">
        <v>61230</v>
      </c>
      <c r="C785" t="s">
        <v>899</v>
      </c>
      <c r="D785">
        <v>0</v>
      </c>
      <c r="E785" s="387">
        <v>5723420146.0100002</v>
      </c>
      <c r="F785" s="387">
        <v>37916697494.779999</v>
      </c>
      <c r="G785" s="387">
        <v>-32193277348.77</v>
      </c>
    </row>
    <row r="786" spans="1:7">
      <c r="A786">
        <v>778</v>
      </c>
      <c r="B786">
        <v>61231</v>
      </c>
      <c r="C786" t="s">
        <v>900</v>
      </c>
      <c r="D786">
        <v>0</v>
      </c>
      <c r="E786" s="387">
        <v>229089952.94999999</v>
      </c>
      <c r="F786" s="387">
        <v>3222333542.6300001</v>
      </c>
      <c r="G786" s="387">
        <v>-2993243589.6799998</v>
      </c>
    </row>
    <row r="787" spans="1:7">
      <c r="A787">
        <v>779</v>
      </c>
      <c r="B787">
        <v>61232</v>
      </c>
      <c r="C787" t="s">
        <v>901</v>
      </c>
      <c r="D787">
        <v>0</v>
      </c>
      <c r="E787" s="387">
        <v>1993299910.0599999</v>
      </c>
      <c r="F787" s="387">
        <v>23788796269.709999</v>
      </c>
      <c r="G787" s="387">
        <v>-21795496359.650002</v>
      </c>
    </row>
    <row r="788" spans="1:7">
      <c r="A788">
        <v>780</v>
      </c>
      <c r="B788">
        <v>61234</v>
      </c>
      <c r="C788" t="s">
        <v>902</v>
      </c>
      <c r="D788">
        <v>0</v>
      </c>
      <c r="E788" s="387">
        <v>925052349.88</v>
      </c>
      <c r="F788" s="387">
        <v>9734171365.4300003</v>
      </c>
      <c r="G788" s="387">
        <v>-8809119015.5499992</v>
      </c>
    </row>
    <row r="789" spans="1:7">
      <c r="A789">
        <v>781</v>
      </c>
      <c r="B789">
        <v>61235</v>
      </c>
      <c r="C789" t="s">
        <v>903</v>
      </c>
      <c r="D789">
        <v>0</v>
      </c>
      <c r="E789" s="387">
        <v>9953.23</v>
      </c>
      <c r="F789" s="387">
        <v>10368.23</v>
      </c>
      <c r="G789">
        <v>-415</v>
      </c>
    </row>
    <row r="790" spans="1:7">
      <c r="A790">
        <v>782</v>
      </c>
      <c r="B790">
        <v>61236</v>
      </c>
      <c r="C790" t="s">
        <v>904</v>
      </c>
      <c r="D790">
        <v>0</v>
      </c>
      <c r="E790" s="387">
        <v>1641983594.3299999</v>
      </c>
      <c r="F790" s="387">
        <v>981688901.53999996</v>
      </c>
      <c r="G790" s="387">
        <v>660294692.78999996</v>
      </c>
    </row>
    <row r="791" spans="1:7">
      <c r="A791">
        <v>783</v>
      </c>
      <c r="B791">
        <v>61237</v>
      </c>
      <c r="C791" t="s">
        <v>905</v>
      </c>
      <c r="D791">
        <v>0</v>
      </c>
      <c r="E791" s="387">
        <v>933994338.82000005</v>
      </c>
      <c r="F791" s="387">
        <v>189707000.53999999</v>
      </c>
      <c r="G791" s="387">
        <v>744287338.27999997</v>
      </c>
    </row>
    <row r="792" spans="1:7">
      <c r="A792">
        <v>784</v>
      </c>
      <c r="B792">
        <v>61239</v>
      </c>
      <c r="C792" t="s">
        <v>906</v>
      </c>
      <c r="D792">
        <v>0</v>
      </c>
      <c r="E792" s="387">
        <v>37916697494.82</v>
      </c>
      <c r="F792" s="387">
        <v>5723420146.0200005</v>
      </c>
      <c r="G792" s="387">
        <v>32193277348.799999</v>
      </c>
    </row>
    <row r="793" spans="1:7">
      <c r="A793">
        <v>785</v>
      </c>
      <c r="B793">
        <v>61240</v>
      </c>
      <c r="C793" t="s">
        <v>907</v>
      </c>
      <c r="D793">
        <v>0</v>
      </c>
      <c r="E793" s="387">
        <v>32197850910.200001</v>
      </c>
      <c r="F793" s="387">
        <v>93917772814.649994</v>
      </c>
      <c r="G793" s="387">
        <v>-61719921904.449997</v>
      </c>
    </row>
    <row r="794" spans="1:7">
      <c r="A794">
        <v>786</v>
      </c>
      <c r="B794">
        <v>61241</v>
      </c>
      <c r="C794" t="s">
        <v>908</v>
      </c>
      <c r="D794">
        <v>0</v>
      </c>
      <c r="E794" s="387">
        <v>986376648.44000006</v>
      </c>
      <c r="F794" s="387">
        <v>11327460904.709999</v>
      </c>
      <c r="G794" s="387">
        <v>-10341084256.27</v>
      </c>
    </row>
    <row r="795" spans="1:7">
      <c r="A795">
        <v>787</v>
      </c>
      <c r="B795">
        <v>61242</v>
      </c>
      <c r="C795" t="s">
        <v>909</v>
      </c>
      <c r="D795">
        <v>0</v>
      </c>
      <c r="E795" s="387">
        <v>4300506477.6499996</v>
      </c>
      <c r="F795" s="387">
        <v>52371802727.889999</v>
      </c>
      <c r="G795" s="387">
        <v>-48071296250.239998</v>
      </c>
    </row>
    <row r="796" spans="1:7">
      <c r="A796">
        <v>788</v>
      </c>
      <c r="B796">
        <v>61243</v>
      </c>
      <c r="C796" t="s">
        <v>910</v>
      </c>
      <c r="D796">
        <v>0</v>
      </c>
      <c r="E796" s="387">
        <v>239370712.22</v>
      </c>
      <c r="F796" s="387">
        <v>3386990695.21</v>
      </c>
      <c r="G796" s="387">
        <v>-3147619982.9899998</v>
      </c>
    </row>
    <row r="797" spans="1:7">
      <c r="A797">
        <v>789</v>
      </c>
      <c r="B797">
        <v>61244</v>
      </c>
      <c r="C797" t="s">
        <v>911</v>
      </c>
      <c r="D797">
        <v>0</v>
      </c>
      <c r="E797" s="387">
        <v>1946112377.51</v>
      </c>
      <c r="F797" s="387">
        <v>24844821276.869999</v>
      </c>
      <c r="G797" s="387">
        <v>-22898708899.360001</v>
      </c>
    </row>
    <row r="798" spans="1:7">
      <c r="A798">
        <v>790</v>
      </c>
      <c r="B798">
        <v>61245</v>
      </c>
      <c r="C798" t="s">
        <v>912</v>
      </c>
      <c r="D798">
        <v>0</v>
      </c>
      <c r="E798">
        <v>0</v>
      </c>
      <c r="F798">
        <v>0.45</v>
      </c>
      <c r="G798">
        <v>-0.45</v>
      </c>
    </row>
    <row r="799" spans="1:7">
      <c r="A799">
        <v>791</v>
      </c>
      <c r="B799">
        <v>61246</v>
      </c>
      <c r="C799" t="s">
        <v>913</v>
      </c>
      <c r="D799">
        <v>0</v>
      </c>
      <c r="E799" s="387">
        <v>4106914.57</v>
      </c>
      <c r="F799" s="387">
        <v>105869673.18000001</v>
      </c>
      <c r="G799" s="387">
        <v>-101762758.61</v>
      </c>
    </row>
    <row r="800" spans="1:7">
      <c r="A800">
        <v>792</v>
      </c>
      <c r="B800">
        <v>61247</v>
      </c>
      <c r="C800" t="s">
        <v>914</v>
      </c>
      <c r="D800">
        <v>0</v>
      </c>
      <c r="E800" s="387">
        <v>26717229781.310001</v>
      </c>
      <c r="F800" s="387">
        <v>5097449695.8299999</v>
      </c>
      <c r="G800" s="387">
        <v>21619780085.48</v>
      </c>
    </row>
    <row r="801" spans="1:7">
      <c r="A801">
        <v>793</v>
      </c>
      <c r="B801">
        <v>61248</v>
      </c>
      <c r="C801" t="s">
        <v>915</v>
      </c>
      <c r="D801">
        <v>0</v>
      </c>
      <c r="E801" s="387">
        <v>1430412021.4100001</v>
      </c>
      <c r="F801" s="387">
        <v>209641863.44999999</v>
      </c>
      <c r="G801" s="387">
        <v>1220770157.96</v>
      </c>
    </row>
    <row r="802" spans="1:7">
      <c r="A802">
        <v>794</v>
      </c>
      <c r="B802">
        <v>61249</v>
      </c>
      <c r="C802" t="s">
        <v>916</v>
      </c>
      <c r="D802">
        <v>0</v>
      </c>
      <c r="E802" s="387">
        <v>94032838776.029999</v>
      </c>
      <c r="F802" s="387">
        <v>32312916871.580002</v>
      </c>
      <c r="G802" s="387">
        <v>61719921904.449997</v>
      </c>
    </row>
    <row r="803" spans="1:7">
      <c r="A803">
        <v>795</v>
      </c>
      <c r="B803">
        <v>61250</v>
      </c>
      <c r="C803" t="s">
        <v>917</v>
      </c>
      <c r="D803">
        <v>0</v>
      </c>
      <c r="E803" s="387">
        <v>33108107.100000001</v>
      </c>
      <c r="F803" s="387">
        <v>33108107.100000001</v>
      </c>
      <c r="G803">
        <v>0</v>
      </c>
    </row>
    <row r="804" spans="1:7">
      <c r="A804">
        <v>796</v>
      </c>
      <c r="B804">
        <v>61251</v>
      </c>
      <c r="C804" t="e">
        <f>-PUBLIC LIGHTING-DEMAND/FIXED CHRGS</f>
        <v>#NAME?</v>
      </c>
      <c r="D804">
        <v>0</v>
      </c>
      <c r="E804" s="387">
        <v>91913.84</v>
      </c>
      <c r="F804" s="387">
        <v>91913.84</v>
      </c>
      <c r="G804">
        <v>0</v>
      </c>
    </row>
    <row r="805" spans="1:7">
      <c r="A805">
        <v>797</v>
      </c>
      <c r="B805">
        <v>61252</v>
      </c>
      <c r="C805" t="e">
        <f>-PUBLIC LIGHTING-ENERGY CHRGS</f>
        <v>#NAME?</v>
      </c>
      <c r="D805">
        <v>0</v>
      </c>
      <c r="E805" s="387">
        <v>16377534.119999999</v>
      </c>
      <c r="F805" s="387">
        <v>16377534.119999999</v>
      </c>
      <c r="G805">
        <v>0</v>
      </c>
    </row>
    <row r="806" spans="1:7">
      <c r="A806">
        <v>798</v>
      </c>
      <c r="B806">
        <v>61254</v>
      </c>
      <c r="C806" t="e">
        <f>-PUBLIC LIGHTING-FUEL COST ADJ.CHRGS</f>
        <v>#NAME?</v>
      </c>
      <c r="D806">
        <v>0</v>
      </c>
      <c r="E806" s="387">
        <v>8332278.7599999998</v>
      </c>
      <c r="F806" s="387">
        <v>8332278.7599999998</v>
      </c>
      <c r="G806">
        <v>0</v>
      </c>
    </row>
    <row r="807" spans="1:7">
      <c r="A807">
        <v>799</v>
      </c>
      <c r="B807">
        <v>61256</v>
      </c>
      <c r="C807" t="s">
        <v>918</v>
      </c>
      <c r="D807">
        <v>0</v>
      </c>
      <c r="E807" s="387">
        <v>8306382.0599999996</v>
      </c>
      <c r="F807" s="387">
        <v>8306382.0599999996</v>
      </c>
      <c r="G807">
        <v>0</v>
      </c>
    </row>
    <row r="808" spans="1:7">
      <c r="A808">
        <v>800</v>
      </c>
      <c r="B808">
        <v>61259</v>
      </c>
      <c r="C808" t="e">
        <f>-PUBLIC LIGHTING-TOTAL BOARD CHRGS DEBIT</f>
        <v>#NAME?</v>
      </c>
      <c r="D808">
        <v>0</v>
      </c>
      <c r="E808" s="387">
        <v>33119166.199999999</v>
      </c>
      <c r="F808" s="387">
        <v>33119166.199999999</v>
      </c>
      <c r="G808">
        <v>0</v>
      </c>
    </row>
    <row r="809" spans="1:7">
      <c r="A809">
        <v>801</v>
      </c>
      <c r="B809">
        <v>61260</v>
      </c>
      <c r="C809" t="s">
        <v>919</v>
      </c>
      <c r="D809">
        <v>0</v>
      </c>
      <c r="E809" s="387">
        <v>5228772.25</v>
      </c>
      <c r="F809" s="387">
        <v>58207952.359999999</v>
      </c>
      <c r="G809" s="387">
        <v>-52979180.109999999</v>
      </c>
    </row>
    <row r="810" spans="1:7">
      <c r="A810">
        <v>802</v>
      </c>
      <c r="B810">
        <v>61261</v>
      </c>
      <c r="C810" t="e">
        <f>-TRACTION-RAILWAYS-DEMAND CHRGS</f>
        <v>#NAME?</v>
      </c>
      <c r="D810">
        <v>0</v>
      </c>
      <c r="E810" s="387">
        <v>765000</v>
      </c>
      <c r="F810" s="387">
        <v>9180000</v>
      </c>
      <c r="G810" s="387">
        <v>-8415000</v>
      </c>
    </row>
    <row r="811" spans="1:7">
      <c r="A811">
        <v>803</v>
      </c>
      <c r="B811">
        <v>61262</v>
      </c>
      <c r="C811" t="e">
        <f>-TRACTION-RAILWAYS-ENERGY CHRGS</f>
        <v>#NAME?</v>
      </c>
      <c r="D811">
        <v>0</v>
      </c>
      <c r="E811" s="387">
        <v>2891250</v>
      </c>
      <c r="F811" s="387">
        <v>36149500</v>
      </c>
      <c r="G811" s="387">
        <v>-33258250</v>
      </c>
    </row>
    <row r="812" spans="1:7">
      <c r="A812">
        <v>804</v>
      </c>
      <c r="B812">
        <v>61264</v>
      </c>
      <c r="C812" t="e">
        <f>-TRACTION-RAILWAYS-FUEL COST ADJ.CHRGS</f>
        <v>#NAME?</v>
      </c>
      <c r="D812">
        <v>0</v>
      </c>
      <c r="E812" s="387">
        <v>1191195</v>
      </c>
      <c r="F812" s="387">
        <v>13894014</v>
      </c>
      <c r="G812" s="387">
        <v>-12702819</v>
      </c>
    </row>
    <row r="813" spans="1:7">
      <c r="A813">
        <v>805</v>
      </c>
      <c r="B813">
        <v>61267</v>
      </c>
      <c r="C813" t="e">
        <f>-TRACTION-RAILWAYS-ADJ TO PAST BILLINGS</f>
        <v>#NAME?</v>
      </c>
      <c r="D813">
        <v>0</v>
      </c>
      <c r="E813" s="387">
        <v>481075.38</v>
      </c>
      <c r="F813" s="387">
        <v>55850</v>
      </c>
      <c r="G813" s="387">
        <v>425225.38</v>
      </c>
    </row>
    <row r="814" spans="1:7">
      <c r="A814">
        <v>806</v>
      </c>
      <c r="B814">
        <v>61268</v>
      </c>
      <c r="C814" t="e">
        <f>-TTRACTION RAILWAYS-CONCESIONS</f>
        <v>#NAME?</v>
      </c>
      <c r="D814">
        <v>0</v>
      </c>
      <c r="E814" s="387">
        <v>1071411.6399999999</v>
      </c>
      <c r="F814" s="387">
        <v>99748.13</v>
      </c>
      <c r="G814" s="387">
        <v>971663.51</v>
      </c>
    </row>
    <row r="815" spans="1:7">
      <c r="A815">
        <v>807</v>
      </c>
      <c r="B815">
        <v>61269</v>
      </c>
      <c r="C815" t="e">
        <f>-TRACTION-RAILWAYS-TOTAL BOARD CH.DEBIT T</f>
        <v>#NAME?</v>
      </c>
      <c r="D815">
        <v>0</v>
      </c>
      <c r="E815" s="387">
        <v>58207952.359999999</v>
      </c>
      <c r="F815" s="387">
        <v>5228772.25</v>
      </c>
      <c r="G815" s="387">
        <v>52979180.109999999</v>
      </c>
    </row>
    <row r="816" spans="1:7">
      <c r="A816">
        <v>808</v>
      </c>
      <c r="B816">
        <v>61270</v>
      </c>
      <c r="C816" t="s">
        <v>920</v>
      </c>
      <c r="D816">
        <v>0</v>
      </c>
      <c r="E816" s="387">
        <v>258565705.37</v>
      </c>
      <c r="F816" s="387">
        <v>3185454619.3400002</v>
      </c>
      <c r="G816" s="387">
        <v>-2926888913.9699998</v>
      </c>
    </row>
    <row r="817" spans="1:7">
      <c r="A817">
        <v>809</v>
      </c>
      <c r="B817">
        <v>61271</v>
      </c>
      <c r="C817" t="e">
        <f>-IRRI-AGRI-DEMAND/FIXED CHRGS</f>
        <v>#NAME?</v>
      </c>
      <c r="D817">
        <v>0</v>
      </c>
      <c r="E817" s="387">
        <v>4708575.25</v>
      </c>
      <c r="F817" s="387">
        <v>232710274.56999999</v>
      </c>
      <c r="G817" s="387">
        <v>-228001699.31999999</v>
      </c>
    </row>
    <row r="818" spans="1:7">
      <c r="A818">
        <v>810</v>
      </c>
      <c r="B818">
        <v>61272</v>
      </c>
      <c r="C818" t="e">
        <f>-IRRIGATION-AGRICULTURAL-ENERGY CHRGS</f>
        <v>#NAME?</v>
      </c>
      <c r="D818">
        <v>0</v>
      </c>
      <c r="E818" s="387">
        <v>33908446.729999997</v>
      </c>
      <c r="F818" s="387">
        <v>1036039788.6</v>
      </c>
      <c r="G818" s="387">
        <v>-1002131341.87</v>
      </c>
    </row>
    <row r="819" spans="1:7">
      <c r="A819">
        <v>811</v>
      </c>
      <c r="B819">
        <v>61274</v>
      </c>
      <c r="C819" t="e">
        <f>-IRRIGATION-AGRICULTURAL-FUEL COST ADJ</f>
        <v>#NAME?</v>
      </c>
      <c r="D819">
        <v>0</v>
      </c>
      <c r="E819" s="387">
        <v>801278.69</v>
      </c>
      <c r="F819" s="387">
        <v>1786837900</v>
      </c>
      <c r="G819" s="387">
        <v>-1786036621.3099999</v>
      </c>
    </row>
    <row r="820" spans="1:7">
      <c r="A820">
        <v>812</v>
      </c>
      <c r="B820">
        <v>61276</v>
      </c>
      <c r="C820" t="s">
        <v>921</v>
      </c>
      <c r="D820">
        <v>0</v>
      </c>
      <c r="E820" s="387">
        <v>180871109.31999999</v>
      </c>
      <c r="F820" s="387">
        <v>122688192.39</v>
      </c>
      <c r="G820" s="387">
        <v>58182916.93</v>
      </c>
    </row>
    <row r="821" spans="1:7">
      <c r="A821">
        <v>813</v>
      </c>
      <c r="B821">
        <v>61277</v>
      </c>
      <c r="C821" t="e">
        <f>-IRRIGATION-AGRICULTURAL-ADJ.TO PAST BLNG</f>
        <v>#NAME?</v>
      </c>
      <c r="D821">
        <v>0</v>
      </c>
      <c r="E821" s="387">
        <v>38278847.450000003</v>
      </c>
      <c r="F821" s="387">
        <v>7240134.1200000001</v>
      </c>
      <c r="G821" s="387">
        <v>31038713.329999998</v>
      </c>
    </row>
    <row r="822" spans="1:7">
      <c r="A822">
        <v>814</v>
      </c>
      <c r="B822">
        <v>61278</v>
      </c>
      <c r="C822" t="e">
        <f>-IRRIGATION-AGRICULTURAL-CONCESSIONS</f>
        <v>#NAME?</v>
      </c>
      <c r="D822">
        <v>0</v>
      </c>
      <c r="E822" s="387">
        <v>59118.239999999998</v>
      </c>
      <c r="F822">
        <v>0</v>
      </c>
      <c r="G822" s="387">
        <v>59118.239999999998</v>
      </c>
    </row>
    <row r="823" spans="1:7">
      <c r="A823">
        <v>815</v>
      </c>
      <c r="B823">
        <v>61279</v>
      </c>
      <c r="C823" t="e">
        <f>-IRRI-AGRI-TOTAL BOARD CHRGS DEBIT</f>
        <v>#NAME?</v>
      </c>
      <c r="D823">
        <v>0</v>
      </c>
      <c r="E823" s="387">
        <v>3185454619.3200002</v>
      </c>
      <c r="F823" s="387">
        <v>258565705.33000001</v>
      </c>
      <c r="G823" s="387">
        <v>2926888913.9899998</v>
      </c>
    </row>
    <row r="824" spans="1:7">
      <c r="A824">
        <v>816</v>
      </c>
      <c r="B824">
        <v>61280</v>
      </c>
      <c r="C824" t="s">
        <v>922</v>
      </c>
      <c r="D824">
        <v>0</v>
      </c>
      <c r="E824" s="387">
        <v>451693653.43000001</v>
      </c>
      <c r="F824" s="387">
        <v>1894580295.02</v>
      </c>
      <c r="G824" s="387">
        <v>-1442886641.5899999</v>
      </c>
    </row>
    <row r="825" spans="1:7">
      <c r="A825">
        <v>817</v>
      </c>
      <c r="B825">
        <v>61281</v>
      </c>
      <c r="C825" t="e">
        <f>-PUB.W/W &amp; SEWERAGE PUMPS DEMAND/F.CHRG</f>
        <v>#NAME?</v>
      </c>
      <c r="D825">
        <v>0</v>
      </c>
      <c r="E825" s="387">
        <v>1049354.78</v>
      </c>
      <c r="F825" s="387">
        <v>29061026.5</v>
      </c>
      <c r="G825" s="387">
        <v>-28011671.719999999</v>
      </c>
    </row>
    <row r="826" spans="1:7">
      <c r="A826">
        <v>818</v>
      </c>
      <c r="B826">
        <v>61282</v>
      </c>
      <c r="C826" t="e">
        <f>-PUB W/W &amp; SEWERAGE PUMPS ENERGY CHRGS</f>
        <v>#NAME?</v>
      </c>
      <c r="D826">
        <v>0</v>
      </c>
      <c r="E826" s="387">
        <v>38280380.280000001</v>
      </c>
      <c r="F826" s="387">
        <v>1067065976.89</v>
      </c>
      <c r="G826" s="387">
        <v>-1028785596.61</v>
      </c>
    </row>
    <row r="827" spans="1:7">
      <c r="A827">
        <v>819</v>
      </c>
      <c r="B827">
        <v>61283</v>
      </c>
      <c r="C827" t="e">
        <f>-PUB W/W &amp; SEWERAGE PUMPS-ADDL. CH.</f>
        <v>#NAME?</v>
      </c>
      <c r="D827">
        <v>0</v>
      </c>
      <c r="E827" s="387">
        <v>62736.75</v>
      </c>
      <c r="F827" s="387">
        <v>2484973.6</v>
      </c>
      <c r="G827" s="387">
        <v>-2422236.85</v>
      </c>
    </row>
    <row r="828" spans="1:7">
      <c r="A828">
        <v>820</v>
      </c>
      <c r="B828">
        <v>61284</v>
      </c>
      <c r="C828" t="e">
        <f>-PUB W/W &amp; SEWERAGE PUMPS F.C.ADJ.CHRGS</f>
        <v>#NAME?</v>
      </c>
      <c r="D828">
        <v>0</v>
      </c>
      <c r="E828" s="387">
        <v>21579382.809999999</v>
      </c>
      <c r="F828" s="387">
        <v>579593012.54999995</v>
      </c>
      <c r="G828" s="387">
        <v>-558013629.74000001</v>
      </c>
    </row>
    <row r="829" spans="1:7">
      <c r="A829">
        <v>821</v>
      </c>
      <c r="B829">
        <v>61286</v>
      </c>
      <c r="C829" t="s">
        <v>923</v>
      </c>
      <c r="D829">
        <v>0</v>
      </c>
      <c r="E829" s="387">
        <v>276639959.18000001</v>
      </c>
      <c r="F829" s="387">
        <v>180016865.34</v>
      </c>
      <c r="G829" s="387">
        <v>96623093.840000004</v>
      </c>
    </row>
    <row r="830" spans="1:7">
      <c r="A830">
        <v>822</v>
      </c>
      <c r="B830">
        <v>61287</v>
      </c>
      <c r="C830" t="e">
        <f>-PUB W/W &amp; PUMPS-ADJ.TO PAST BILLINGS</f>
        <v>#NAME?</v>
      </c>
      <c r="D830">
        <v>0</v>
      </c>
      <c r="E830" s="387">
        <v>115218213.73999999</v>
      </c>
      <c r="F830" s="387">
        <v>37893237.479999997</v>
      </c>
      <c r="G830" s="387">
        <v>77324976.260000005</v>
      </c>
    </row>
    <row r="831" spans="1:7">
      <c r="A831">
        <v>823</v>
      </c>
      <c r="B831">
        <v>61288</v>
      </c>
      <c r="C831" t="s">
        <v>924</v>
      </c>
      <c r="D831">
        <v>0</v>
      </c>
      <c r="E831" s="387">
        <v>437741.93</v>
      </c>
      <c r="F831" s="387">
        <v>39318.65</v>
      </c>
      <c r="G831" s="387">
        <v>398423.28</v>
      </c>
    </row>
    <row r="832" spans="1:7">
      <c r="A832">
        <v>824</v>
      </c>
      <c r="B832">
        <v>61289</v>
      </c>
      <c r="C832" t="e">
        <f>-PUB W/W &amp; S-PUMPS T.BORD CHRGS DIBIT</f>
        <v>#NAME?</v>
      </c>
      <c r="D832">
        <v>0</v>
      </c>
      <c r="E832" s="387">
        <v>1894580295.01</v>
      </c>
      <c r="F832" s="387">
        <v>451693653.43000001</v>
      </c>
      <c r="G832" s="387">
        <v>1442886641.5799999</v>
      </c>
    </row>
    <row r="833" spans="1:7">
      <c r="A833">
        <v>825</v>
      </c>
      <c r="B833">
        <v>615</v>
      </c>
      <c r="C833" t="s">
        <v>925</v>
      </c>
      <c r="D833">
        <v>0</v>
      </c>
      <c r="E833" s="387">
        <v>19248311030.599998</v>
      </c>
      <c r="F833" s="387">
        <v>19248311030.599998</v>
      </c>
      <c r="G833">
        <v>0</v>
      </c>
    </row>
    <row r="834" spans="1:7">
      <c r="A834">
        <v>826</v>
      </c>
      <c r="B834">
        <v>61501</v>
      </c>
      <c r="C834" t="s">
        <v>926</v>
      </c>
      <c r="D834">
        <v>0</v>
      </c>
      <c r="E834" s="387">
        <v>35023.919999999998</v>
      </c>
      <c r="F834" s="387">
        <v>2346778388.8600001</v>
      </c>
      <c r="G834" s="387">
        <v>-2346743364.9400001</v>
      </c>
    </row>
    <row r="835" spans="1:7">
      <c r="A835">
        <v>827</v>
      </c>
      <c r="B835">
        <v>61502</v>
      </c>
      <c r="C835" t="s">
        <v>927</v>
      </c>
      <c r="D835">
        <v>0</v>
      </c>
      <c r="E835" s="387">
        <v>190751.35</v>
      </c>
      <c r="F835" s="387">
        <v>25244403.32</v>
      </c>
      <c r="G835" s="387">
        <v>-25053651.969999999</v>
      </c>
    </row>
    <row r="836" spans="1:7">
      <c r="A836">
        <v>828</v>
      </c>
      <c r="B836">
        <v>61503</v>
      </c>
      <c r="C836" t="s">
        <v>928</v>
      </c>
      <c r="D836">
        <v>0</v>
      </c>
      <c r="E836" s="387">
        <v>11871100.640000001</v>
      </c>
      <c r="F836" s="387">
        <v>3434213788.8299999</v>
      </c>
      <c r="G836" s="387">
        <v>-3422342688.1900001</v>
      </c>
    </row>
    <row r="837" spans="1:7">
      <c r="A837">
        <v>829</v>
      </c>
      <c r="B837">
        <v>61504</v>
      </c>
      <c r="C837" t="s">
        <v>929</v>
      </c>
      <c r="D837">
        <v>0</v>
      </c>
      <c r="E837" s="387">
        <v>2359127836.04</v>
      </c>
      <c r="F837" s="387">
        <v>11004722553.440001</v>
      </c>
      <c r="G837" s="387">
        <v>-8645594717.3999996</v>
      </c>
    </row>
    <row r="838" spans="1:7">
      <c r="A838">
        <v>830</v>
      </c>
      <c r="B838">
        <v>61505</v>
      </c>
      <c r="C838" t="s">
        <v>930</v>
      </c>
      <c r="D838">
        <v>0</v>
      </c>
      <c r="E838">
        <v>0</v>
      </c>
      <c r="F838" s="387">
        <v>314608.89</v>
      </c>
      <c r="G838" s="387">
        <v>-314608.89</v>
      </c>
    </row>
    <row r="839" spans="1:7">
      <c r="A839">
        <v>831</v>
      </c>
      <c r="B839">
        <v>61507</v>
      </c>
      <c r="C839" t="s">
        <v>931</v>
      </c>
      <c r="D839">
        <v>0</v>
      </c>
      <c r="E839">
        <v>494.66</v>
      </c>
      <c r="F839" s="387">
        <v>92846.17</v>
      </c>
      <c r="G839" s="387">
        <v>-92351.51</v>
      </c>
    </row>
    <row r="840" spans="1:7">
      <c r="A840">
        <v>832</v>
      </c>
      <c r="B840">
        <v>61508</v>
      </c>
      <c r="C840" t="s">
        <v>932</v>
      </c>
      <c r="D840">
        <v>0</v>
      </c>
      <c r="E840" s="387">
        <v>18171.45</v>
      </c>
      <c r="F840" s="387">
        <v>47385357.780000001</v>
      </c>
      <c r="G840" s="387">
        <v>-47367186.329999998</v>
      </c>
    </row>
    <row r="841" spans="1:7">
      <c r="A841">
        <v>833</v>
      </c>
      <c r="B841">
        <v>61516</v>
      </c>
      <c r="C841" t="s">
        <v>933</v>
      </c>
      <c r="D841">
        <v>0</v>
      </c>
      <c r="E841" s="387">
        <v>434237.45</v>
      </c>
      <c r="F841" s="387">
        <v>12923262.859999999</v>
      </c>
      <c r="G841" s="387">
        <v>-12489025.41</v>
      </c>
    </row>
    <row r="842" spans="1:7">
      <c r="A842">
        <v>834</v>
      </c>
      <c r="B842">
        <v>61518</v>
      </c>
      <c r="C842" t="s">
        <v>934</v>
      </c>
      <c r="D842">
        <v>0</v>
      </c>
      <c r="E842">
        <v>0</v>
      </c>
      <c r="F842" s="387">
        <v>6362590.7199999997</v>
      </c>
      <c r="G842" s="387">
        <v>-6362590.7199999997</v>
      </c>
    </row>
    <row r="843" spans="1:7">
      <c r="A843">
        <v>835</v>
      </c>
      <c r="B843">
        <v>61541</v>
      </c>
      <c r="C843" t="s">
        <v>935</v>
      </c>
      <c r="D843">
        <v>0</v>
      </c>
      <c r="E843" s="387">
        <v>16876633415.09</v>
      </c>
      <c r="F843" s="387">
        <v>2370273229.73</v>
      </c>
      <c r="G843" s="387">
        <v>14506360185.360001</v>
      </c>
    </row>
    <row r="844" spans="1:7">
      <c r="A844">
        <v>836</v>
      </c>
      <c r="B844">
        <v>616</v>
      </c>
      <c r="C844" t="s">
        <v>936</v>
      </c>
      <c r="D844">
        <v>0</v>
      </c>
      <c r="E844" s="387">
        <v>87298.96</v>
      </c>
      <c r="F844" s="387">
        <v>204350.84</v>
      </c>
      <c r="G844" s="387">
        <v>-117051.88</v>
      </c>
    </row>
    <row r="845" spans="1:7">
      <c r="A845">
        <v>837</v>
      </c>
      <c r="B845">
        <v>61600</v>
      </c>
      <c r="C845" t="s">
        <v>937</v>
      </c>
      <c r="D845">
        <v>0</v>
      </c>
      <c r="E845" s="387">
        <v>87298.96</v>
      </c>
      <c r="F845" s="387">
        <v>204350.84</v>
      </c>
      <c r="G845" s="387">
        <v>-117051.88</v>
      </c>
    </row>
    <row r="846" spans="1:7">
      <c r="A846">
        <v>838</v>
      </c>
      <c r="B846">
        <v>617</v>
      </c>
      <c r="C846" t="s">
        <v>938</v>
      </c>
      <c r="D846">
        <v>0</v>
      </c>
      <c r="E846" s="387">
        <v>23843952.75</v>
      </c>
      <c r="F846" s="387">
        <v>317922571.25</v>
      </c>
      <c r="G846" s="387">
        <v>-294078618.5</v>
      </c>
    </row>
    <row r="847" spans="1:7">
      <c r="A847">
        <v>839</v>
      </c>
      <c r="B847">
        <v>61700</v>
      </c>
      <c r="C847" t="s">
        <v>939</v>
      </c>
      <c r="D847">
        <v>0</v>
      </c>
      <c r="E847" s="387">
        <v>23843952.75</v>
      </c>
      <c r="F847" s="387">
        <v>317922571.25</v>
      </c>
      <c r="G847" s="387">
        <v>-294078618.5</v>
      </c>
    </row>
    <row r="848" spans="1:7">
      <c r="A848">
        <v>840</v>
      </c>
      <c r="B848">
        <v>618</v>
      </c>
      <c r="C848" t="s">
        <v>940</v>
      </c>
      <c r="D848">
        <v>0</v>
      </c>
      <c r="E848" s="387">
        <v>14265540</v>
      </c>
      <c r="F848" s="387">
        <v>459369961.11000001</v>
      </c>
      <c r="G848" s="387">
        <v>-445104421.11000001</v>
      </c>
    </row>
    <row r="849" spans="1:7">
      <c r="A849">
        <v>841</v>
      </c>
      <c r="B849">
        <v>61802</v>
      </c>
      <c r="C849" t="s">
        <v>941</v>
      </c>
      <c r="D849">
        <v>0</v>
      </c>
      <c r="E849" s="387">
        <v>4711170</v>
      </c>
      <c r="F849" s="387">
        <v>22615547.109999999</v>
      </c>
      <c r="G849" s="387">
        <v>-17904377.109999999</v>
      </c>
    </row>
    <row r="850" spans="1:7">
      <c r="A850">
        <v>842</v>
      </c>
      <c r="B850">
        <v>61810</v>
      </c>
      <c r="C850" t="s">
        <v>942</v>
      </c>
      <c r="D850">
        <v>0</v>
      </c>
      <c r="E850">
        <v>0</v>
      </c>
      <c r="F850" s="387">
        <v>427200044</v>
      </c>
      <c r="G850" s="387">
        <v>-427200044</v>
      </c>
    </row>
    <row r="851" spans="1:7">
      <c r="A851">
        <v>843</v>
      </c>
      <c r="B851">
        <v>61821</v>
      </c>
      <c r="C851" t="s">
        <v>943</v>
      </c>
      <c r="D851">
        <v>0</v>
      </c>
      <c r="E851" s="387">
        <v>9554370</v>
      </c>
      <c r="F851" s="387">
        <v>9554370</v>
      </c>
      <c r="G851">
        <v>0</v>
      </c>
    </row>
    <row r="852" spans="1:7">
      <c r="A852">
        <v>844</v>
      </c>
      <c r="B852">
        <v>619</v>
      </c>
      <c r="C852" t="s">
        <v>944</v>
      </c>
      <c r="D852">
        <v>0</v>
      </c>
      <c r="E852" s="387">
        <v>7286260801.2200003</v>
      </c>
      <c r="F852" s="387">
        <v>10960610387.98</v>
      </c>
      <c r="G852" s="387">
        <v>-3674349586.7600002</v>
      </c>
    </row>
    <row r="853" spans="1:7">
      <c r="A853">
        <v>845</v>
      </c>
      <c r="B853">
        <v>61901</v>
      </c>
      <c r="C853" t="s">
        <v>945</v>
      </c>
      <c r="D853">
        <v>0</v>
      </c>
      <c r="E853" s="387">
        <v>1900</v>
      </c>
      <c r="F853" s="387">
        <v>67100</v>
      </c>
      <c r="G853" s="387">
        <v>-65200</v>
      </c>
    </row>
    <row r="854" spans="1:7">
      <c r="A854">
        <v>846</v>
      </c>
      <c r="B854">
        <v>61902</v>
      </c>
      <c r="C854" t="s">
        <v>946</v>
      </c>
      <c r="D854">
        <v>0</v>
      </c>
      <c r="E854" s="387">
        <v>86639</v>
      </c>
      <c r="F854" s="387">
        <v>62476445</v>
      </c>
      <c r="G854" s="387">
        <v>-62389806</v>
      </c>
    </row>
    <row r="855" spans="1:7">
      <c r="A855">
        <v>847</v>
      </c>
      <c r="B855">
        <v>61904</v>
      </c>
      <c r="C855" t="s">
        <v>947</v>
      </c>
      <c r="D855">
        <v>0</v>
      </c>
      <c r="E855" s="387">
        <v>12657147.09</v>
      </c>
      <c r="F855" s="387">
        <v>59792221.520000003</v>
      </c>
      <c r="G855" s="387">
        <v>-47135074.43</v>
      </c>
    </row>
    <row r="856" spans="1:7">
      <c r="A856">
        <v>848</v>
      </c>
      <c r="B856">
        <v>61905</v>
      </c>
      <c r="C856" t="s">
        <v>948</v>
      </c>
      <c r="D856">
        <v>0</v>
      </c>
      <c r="E856" s="387">
        <v>3133433304.7600002</v>
      </c>
      <c r="F856" s="387">
        <v>3240670464.3499999</v>
      </c>
      <c r="G856" s="387">
        <v>-107237159.59</v>
      </c>
    </row>
    <row r="857" spans="1:7">
      <c r="A857">
        <v>849</v>
      </c>
      <c r="B857">
        <v>61910</v>
      </c>
      <c r="C857" t="s">
        <v>949</v>
      </c>
      <c r="D857">
        <v>0</v>
      </c>
      <c r="E857" s="387">
        <v>17595</v>
      </c>
      <c r="F857" s="387">
        <v>1605084</v>
      </c>
      <c r="G857" s="387">
        <v>-1587489</v>
      </c>
    </row>
    <row r="858" spans="1:7">
      <c r="A858">
        <v>850</v>
      </c>
      <c r="B858">
        <v>61911</v>
      </c>
      <c r="C858" t="s">
        <v>950</v>
      </c>
      <c r="D858">
        <v>0</v>
      </c>
      <c r="E858">
        <v>0</v>
      </c>
      <c r="F858" s="387">
        <v>3350</v>
      </c>
      <c r="G858" s="387">
        <v>-3350</v>
      </c>
    </row>
    <row r="859" spans="1:7">
      <c r="A859">
        <v>851</v>
      </c>
      <c r="B859">
        <v>61914</v>
      </c>
      <c r="C859" t="s">
        <v>951</v>
      </c>
      <c r="D859">
        <v>0</v>
      </c>
      <c r="E859">
        <v>0</v>
      </c>
      <c r="F859" s="387">
        <v>5968.5</v>
      </c>
      <c r="G859" s="387">
        <v>-5968.5</v>
      </c>
    </row>
    <row r="860" spans="1:7">
      <c r="A860">
        <v>852</v>
      </c>
      <c r="B860">
        <v>61915</v>
      </c>
      <c r="C860" t="s">
        <v>952</v>
      </c>
      <c r="D860">
        <v>0</v>
      </c>
      <c r="E860" s="387">
        <v>55117</v>
      </c>
      <c r="F860" s="387">
        <v>19261651.219999999</v>
      </c>
      <c r="G860" s="387">
        <v>-19206534.219999999</v>
      </c>
    </row>
    <row r="861" spans="1:7">
      <c r="A861">
        <v>853</v>
      </c>
      <c r="B861">
        <v>61916</v>
      </c>
      <c r="C861" t="s">
        <v>953</v>
      </c>
      <c r="D861">
        <v>0</v>
      </c>
      <c r="E861" s="387">
        <v>5775377.7199999997</v>
      </c>
      <c r="F861" s="387">
        <v>15420970.640000001</v>
      </c>
      <c r="G861" s="387">
        <v>-9645592.9199999999</v>
      </c>
    </row>
    <row r="862" spans="1:7">
      <c r="A862">
        <v>854</v>
      </c>
      <c r="B862">
        <v>61917</v>
      </c>
      <c r="C862" t="s">
        <v>954</v>
      </c>
      <c r="D862">
        <v>0</v>
      </c>
      <c r="E862" s="387">
        <v>9000</v>
      </c>
      <c r="F862" s="387">
        <v>1233400</v>
      </c>
      <c r="G862" s="387">
        <v>-1224400</v>
      </c>
    </row>
    <row r="863" spans="1:7">
      <c r="A863">
        <v>855</v>
      </c>
      <c r="B863">
        <v>61918</v>
      </c>
      <c r="C863" t="s">
        <v>955</v>
      </c>
      <c r="D863">
        <v>0</v>
      </c>
      <c r="E863" s="387">
        <v>362353045.83999997</v>
      </c>
      <c r="F863" s="387">
        <v>544579284.71000004</v>
      </c>
      <c r="G863" s="387">
        <v>-182226238.87</v>
      </c>
    </row>
    <row r="864" spans="1:7">
      <c r="A864">
        <v>856</v>
      </c>
      <c r="B864">
        <v>61919</v>
      </c>
      <c r="C864" t="s">
        <v>956</v>
      </c>
      <c r="D864">
        <v>0</v>
      </c>
      <c r="E864" s="387">
        <v>610379737.5</v>
      </c>
      <c r="F864" s="387">
        <v>768239722.45000005</v>
      </c>
      <c r="G864" s="387">
        <v>-157859984.94999999</v>
      </c>
    </row>
    <row r="865" spans="1:7">
      <c r="A865">
        <v>857</v>
      </c>
      <c r="B865">
        <v>61920</v>
      </c>
      <c r="C865" t="s">
        <v>957</v>
      </c>
      <c r="D865">
        <v>0</v>
      </c>
      <c r="E865" s="387">
        <v>8303</v>
      </c>
      <c r="F865" s="387">
        <v>2898867.6</v>
      </c>
      <c r="G865" s="387">
        <v>-2890564.6</v>
      </c>
    </row>
    <row r="866" spans="1:7">
      <c r="A866">
        <v>858</v>
      </c>
      <c r="B866">
        <v>61924</v>
      </c>
      <c r="C866" t="s">
        <v>958</v>
      </c>
      <c r="D866">
        <v>0</v>
      </c>
      <c r="E866" s="387">
        <v>2454120392.8400002</v>
      </c>
      <c r="F866" s="387">
        <v>4758699358.4099998</v>
      </c>
      <c r="G866" s="387">
        <v>-2304578965.5700002</v>
      </c>
    </row>
    <row r="867" spans="1:7">
      <c r="A867">
        <v>859</v>
      </c>
      <c r="B867">
        <v>61925</v>
      </c>
      <c r="C867" t="s">
        <v>959</v>
      </c>
      <c r="D867">
        <v>0</v>
      </c>
      <c r="E867" s="387">
        <v>697374179.53999996</v>
      </c>
      <c r="F867" s="387">
        <v>1407804972.77</v>
      </c>
      <c r="G867" s="387">
        <v>-710430793.23000002</v>
      </c>
    </row>
    <row r="868" spans="1:7">
      <c r="A868">
        <v>860</v>
      </c>
      <c r="B868">
        <v>61933</v>
      </c>
      <c r="C868" t="s">
        <v>960</v>
      </c>
      <c r="D868">
        <v>0</v>
      </c>
      <c r="E868" s="387">
        <v>31289</v>
      </c>
      <c r="F868" s="387">
        <v>31289</v>
      </c>
      <c r="G868">
        <v>0</v>
      </c>
    </row>
    <row r="869" spans="1:7">
      <c r="A869">
        <v>861</v>
      </c>
      <c r="B869">
        <v>61934</v>
      </c>
      <c r="C869" t="s">
        <v>961</v>
      </c>
      <c r="D869">
        <v>0</v>
      </c>
      <c r="E869">
        <v>0</v>
      </c>
      <c r="F869" s="387">
        <v>5982</v>
      </c>
      <c r="G869" s="387">
        <v>-5982</v>
      </c>
    </row>
    <row r="870" spans="1:7">
      <c r="A870">
        <v>862</v>
      </c>
      <c r="B870">
        <v>61937</v>
      </c>
      <c r="C870" t="s">
        <v>962</v>
      </c>
      <c r="D870">
        <v>0</v>
      </c>
      <c r="E870" s="387">
        <v>64486</v>
      </c>
      <c r="F870" s="387">
        <v>38562779.82</v>
      </c>
      <c r="G870" s="387">
        <v>-38498293.82</v>
      </c>
    </row>
    <row r="871" spans="1:7">
      <c r="A871">
        <v>863</v>
      </c>
      <c r="B871">
        <v>61938</v>
      </c>
      <c r="C871" t="s">
        <v>963</v>
      </c>
      <c r="D871">
        <v>0</v>
      </c>
      <c r="E871" s="387">
        <v>9779842.0099999998</v>
      </c>
      <c r="F871" s="387">
        <v>16630003.119999999</v>
      </c>
      <c r="G871" s="387">
        <v>-6850161.1100000003</v>
      </c>
    </row>
    <row r="872" spans="1:7">
      <c r="A872">
        <v>864</v>
      </c>
      <c r="B872">
        <v>61939</v>
      </c>
      <c r="C872" t="s">
        <v>964</v>
      </c>
      <c r="D872">
        <v>0</v>
      </c>
      <c r="E872" s="387">
        <v>113444.92</v>
      </c>
      <c r="F872" s="387">
        <v>10596472.869999999</v>
      </c>
      <c r="G872" s="387">
        <v>-10483027.949999999</v>
      </c>
    </row>
    <row r="873" spans="1:7">
      <c r="A873">
        <v>865</v>
      </c>
      <c r="B873">
        <v>61941</v>
      </c>
      <c r="C873" t="s">
        <v>965</v>
      </c>
      <c r="D873">
        <v>0</v>
      </c>
      <c r="E873">
        <v>0</v>
      </c>
      <c r="F873" s="387">
        <v>4960000</v>
      </c>
      <c r="G873" s="387">
        <v>-4960000</v>
      </c>
    </row>
    <row r="874" spans="1:7">
      <c r="A874">
        <v>866</v>
      </c>
      <c r="B874">
        <v>61942</v>
      </c>
      <c r="C874" t="s">
        <v>966</v>
      </c>
      <c r="D874">
        <v>0</v>
      </c>
      <c r="E874">
        <v>0</v>
      </c>
      <c r="F874" s="387">
        <v>7065000</v>
      </c>
      <c r="G874" s="387">
        <v>-7065000</v>
      </c>
    </row>
    <row r="875" spans="1:7">
      <c r="A875">
        <v>867</v>
      </c>
      <c r="B875">
        <v>62</v>
      </c>
      <c r="C875" t="s">
        <v>967</v>
      </c>
      <c r="D875">
        <v>0</v>
      </c>
      <c r="E875" s="387">
        <v>319405581.83999997</v>
      </c>
      <c r="F875" s="387">
        <v>1172709989.1400001</v>
      </c>
      <c r="G875" s="387">
        <v>-853304407.29999995</v>
      </c>
    </row>
    <row r="876" spans="1:7">
      <c r="A876">
        <v>868</v>
      </c>
      <c r="B876">
        <v>622</v>
      </c>
      <c r="C876" t="s">
        <v>968</v>
      </c>
      <c r="D876">
        <v>0</v>
      </c>
      <c r="E876" s="387">
        <v>171287469.56</v>
      </c>
      <c r="F876" s="387">
        <v>829618559.74000001</v>
      </c>
      <c r="G876" s="387">
        <v>-658331090.17999995</v>
      </c>
    </row>
    <row r="877" spans="1:7">
      <c r="A877">
        <v>869</v>
      </c>
      <c r="B877">
        <v>62211</v>
      </c>
      <c r="C877" t="s">
        <v>969</v>
      </c>
      <c r="D877">
        <v>0</v>
      </c>
      <c r="E877" s="387">
        <v>273243</v>
      </c>
      <c r="F877" s="387">
        <v>4213082.74</v>
      </c>
      <c r="G877" s="387">
        <v>-3939839.74</v>
      </c>
    </row>
    <row r="878" spans="1:7">
      <c r="A878">
        <v>870</v>
      </c>
      <c r="B878">
        <v>62212</v>
      </c>
      <c r="C878" t="s">
        <v>970</v>
      </c>
      <c r="D878">
        <v>0</v>
      </c>
      <c r="E878" s="387">
        <v>40288.79</v>
      </c>
      <c r="F878" s="387">
        <v>1567891.68</v>
      </c>
      <c r="G878" s="387">
        <v>-1527602.89</v>
      </c>
    </row>
    <row r="879" spans="1:7">
      <c r="A879">
        <v>871</v>
      </c>
      <c r="B879">
        <v>62252</v>
      </c>
      <c r="C879" t="s">
        <v>971</v>
      </c>
      <c r="D879">
        <v>0</v>
      </c>
      <c r="E879">
        <v>0.03</v>
      </c>
      <c r="F879" s="387">
        <v>24798067.030000001</v>
      </c>
      <c r="G879" s="387">
        <v>-24798067</v>
      </c>
    </row>
    <row r="880" spans="1:7">
      <c r="A880">
        <v>872</v>
      </c>
      <c r="B880">
        <v>62271</v>
      </c>
      <c r="C880" t="s">
        <v>972</v>
      </c>
      <c r="D880">
        <v>0</v>
      </c>
      <c r="E880" s="387">
        <v>30579836.02</v>
      </c>
      <c r="F880" s="387">
        <v>264507008.02000001</v>
      </c>
      <c r="G880" s="387">
        <v>-233927172</v>
      </c>
    </row>
    <row r="881" spans="1:7">
      <c r="A881">
        <v>873</v>
      </c>
      <c r="B881">
        <v>62273</v>
      </c>
      <c r="C881" t="s">
        <v>973</v>
      </c>
      <c r="D881">
        <v>0</v>
      </c>
      <c r="E881">
        <v>0</v>
      </c>
      <c r="F881" s="387">
        <v>144225.29</v>
      </c>
      <c r="G881" s="387">
        <v>-144225.29</v>
      </c>
    </row>
    <row r="882" spans="1:7">
      <c r="A882">
        <v>874</v>
      </c>
      <c r="B882">
        <v>62278</v>
      </c>
      <c r="C882" t="s">
        <v>974</v>
      </c>
      <c r="D882">
        <v>0</v>
      </c>
      <c r="E882" s="387">
        <v>29212.83</v>
      </c>
      <c r="F882" s="387">
        <v>3799193.69</v>
      </c>
      <c r="G882" s="387">
        <v>-3769980.86</v>
      </c>
    </row>
    <row r="883" spans="1:7">
      <c r="A883">
        <v>875</v>
      </c>
      <c r="B883">
        <v>62279</v>
      </c>
      <c r="C883" t="s">
        <v>975</v>
      </c>
      <c r="D883">
        <v>0</v>
      </c>
      <c r="E883">
        <v>0</v>
      </c>
      <c r="F883" s="387">
        <v>340434.84</v>
      </c>
      <c r="G883" s="387">
        <v>-340434.84</v>
      </c>
    </row>
    <row r="884" spans="1:7">
      <c r="A884">
        <v>876</v>
      </c>
      <c r="B884">
        <v>62281</v>
      </c>
      <c r="C884" t="s">
        <v>976</v>
      </c>
      <c r="D884">
        <v>0</v>
      </c>
      <c r="E884" s="387">
        <v>26952350.809999999</v>
      </c>
      <c r="F884" s="387">
        <v>239372503.75999999</v>
      </c>
      <c r="G884" s="387">
        <v>-212420152.94999999</v>
      </c>
    </row>
    <row r="885" spans="1:7">
      <c r="A885">
        <v>877</v>
      </c>
      <c r="B885">
        <v>62282</v>
      </c>
      <c r="C885" t="s">
        <v>977</v>
      </c>
      <c r="D885">
        <v>0</v>
      </c>
      <c r="E885" s="387">
        <v>858758.11</v>
      </c>
      <c r="F885" s="387">
        <v>9282913.1099999994</v>
      </c>
      <c r="G885" s="387">
        <v>-8424155</v>
      </c>
    </row>
    <row r="886" spans="1:7">
      <c r="A886">
        <v>878</v>
      </c>
      <c r="B886">
        <v>62283</v>
      </c>
      <c r="C886" t="s">
        <v>978</v>
      </c>
      <c r="D886">
        <v>0</v>
      </c>
      <c r="E886" s="387">
        <v>13542734.300000001</v>
      </c>
      <c r="F886" s="387">
        <v>130676924.29000001</v>
      </c>
      <c r="G886" s="387">
        <v>-117134189.98999999</v>
      </c>
    </row>
    <row r="887" spans="1:7">
      <c r="A887">
        <v>879</v>
      </c>
      <c r="B887">
        <v>62284</v>
      </c>
      <c r="C887" t="s">
        <v>979</v>
      </c>
      <c r="D887">
        <v>0</v>
      </c>
      <c r="E887" s="387">
        <v>496558.55</v>
      </c>
      <c r="F887" s="387">
        <v>496558.18</v>
      </c>
      <c r="G887">
        <v>0.37</v>
      </c>
    </row>
    <row r="888" spans="1:7">
      <c r="A888">
        <v>880</v>
      </c>
      <c r="B888">
        <v>62285</v>
      </c>
      <c r="C888" t="s">
        <v>980</v>
      </c>
      <c r="D888">
        <v>0</v>
      </c>
      <c r="E888" s="387">
        <v>5532994.0499999998</v>
      </c>
      <c r="F888" s="387">
        <v>28795431.420000002</v>
      </c>
      <c r="G888" s="387">
        <v>-23262437.370000001</v>
      </c>
    </row>
    <row r="889" spans="1:7">
      <c r="A889">
        <v>881</v>
      </c>
      <c r="B889">
        <v>62286</v>
      </c>
      <c r="C889" t="s">
        <v>981</v>
      </c>
      <c r="D889">
        <v>0</v>
      </c>
      <c r="E889" s="387">
        <v>87644456.930000007</v>
      </c>
      <c r="F889" s="387">
        <v>99667430.469999999</v>
      </c>
      <c r="G889" s="387">
        <v>-12022973.539999999</v>
      </c>
    </row>
    <row r="890" spans="1:7">
      <c r="A890">
        <v>882</v>
      </c>
      <c r="B890">
        <v>62287</v>
      </c>
      <c r="C890" t="s">
        <v>982</v>
      </c>
      <c r="D890">
        <v>0</v>
      </c>
      <c r="E890" s="387">
        <v>5299051.25</v>
      </c>
      <c r="F890" s="387">
        <v>21223939.239999998</v>
      </c>
      <c r="G890" s="387">
        <v>-15924887.99</v>
      </c>
    </row>
    <row r="891" spans="1:7">
      <c r="A891">
        <v>883</v>
      </c>
      <c r="B891">
        <v>62288</v>
      </c>
      <c r="C891" t="s">
        <v>983</v>
      </c>
      <c r="D891">
        <v>0</v>
      </c>
      <c r="E891" s="387">
        <v>37984.89</v>
      </c>
      <c r="F891" s="387">
        <v>732955.98</v>
      </c>
      <c r="G891" s="387">
        <v>-694971.09</v>
      </c>
    </row>
    <row r="892" spans="1:7">
      <c r="A892">
        <v>884</v>
      </c>
      <c r="B892">
        <v>623</v>
      </c>
      <c r="C892" t="s">
        <v>984</v>
      </c>
      <c r="D892">
        <v>0</v>
      </c>
      <c r="E892" s="387">
        <v>103077679.81999999</v>
      </c>
      <c r="F892" s="387">
        <v>108747320.87</v>
      </c>
      <c r="G892" s="387">
        <v>-5669641.0499999998</v>
      </c>
    </row>
    <row r="893" spans="1:7">
      <c r="A893">
        <v>885</v>
      </c>
      <c r="B893">
        <v>62340</v>
      </c>
      <c r="C893" t="s">
        <v>985</v>
      </c>
      <c r="D893">
        <v>0</v>
      </c>
      <c r="E893" s="387">
        <v>97964248.099999994</v>
      </c>
      <c r="F893" s="387">
        <v>97964248.099999994</v>
      </c>
      <c r="G893">
        <v>0</v>
      </c>
    </row>
    <row r="894" spans="1:7">
      <c r="A894">
        <v>886</v>
      </c>
      <c r="B894">
        <v>62360</v>
      </c>
      <c r="C894" t="s">
        <v>986</v>
      </c>
      <c r="D894">
        <v>0</v>
      </c>
      <c r="E894" s="387">
        <v>5113431.72</v>
      </c>
      <c r="F894" s="387">
        <v>10783072.77</v>
      </c>
      <c r="G894" s="387">
        <v>-5669641.0499999998</v>
      </c>
    </row>
    <row r="895" spans="1:7">
      <c r="A895">
        <v>887</v>
      </c>
      <c r="B895">
        <v>624</v>
      </c>
      <c r="C895" t="s">
        <v>987</v>
      </c>
      <c r="D895">
        <v>0</v>
      </c>
      <c r="E895" s="387">
        <v>1014156.36</v>
      </c>
      <c r="F895" s="387">
        <v>1111286.73</v>
      </c>
      <c r="G895" s="387">
        <v>-97130.37</v>
      </c>
    </row>
    <row r="896" spans="1:7">
      <c r="A896">
        <v>888</v>
      </c>
      <c r="B896">
        <v>62400</v>
      </c>
      <c r="C896" t="s">
        <v>987</v>
      </c>
      <c r="D896">
        <v>0</v>
      </c>
      <c r="E896" s="387">
        <v>97130.36</v>
      </c>
      <c r="F896" s="387">
        <v>194260.73</v>
      </c>
      <c r="G896" s="387">
        <v>-97130.37</v>
      </c>
    </row>
    <row r="897" spans="1:7">
      <c r="A897">
        <v>889</v>
      </c>
      <c r="B897">
        <v>62410</v>
      </c>
      <c r="C897" t="s">
        <v>988</v>
      </c>
      <c r="D897">
        <v>0</v>
      </c>
      <c r="E897" s="387">
        <v>917026</v>
      </c>
      <c r="F897" s="387">
        <v>917026</v>
      </c>
      <c r="G897">
        <v>0</v>
      </c>
    </row>
    <row r="898" spans="1:7">
      <c r="A898">
        <v>890</v>
      </c>
      <c r="B898">
        <v>626</v>
      </c>
      <c r="C898" t="s">
        <v>989</v>
      </c>
      <c r="D898">
        <v>0</v>
      </c>
      <c r="E898">
        <v>0.37</v>
      </c>
      <c r="F898">
        <v>0.37</v>
      </c>
      <c r="G898">
        <v>0</v>
      </c>
    </row>
    <row r="899" spans="1:7">
      <c r="A899">
        <v>891</v>
      </c>
      <c r="B899">
        <v>62650</v>
      </c>
      <c r="C899" t="s">
        <v>680</v>
      </c>
      <c r="D899">
        <v>0</v>
      </c>
      <c r="E899">
        <v>0.37</v>
      </c>
      <c r="F899">
        <v>0.37</v>
      </c>
      <c r="G899">
        <v>0</v>
      </c>
    </row>
    <row r="900" spans="1:7">
      <c r="A900">
        <v>892</v>
      </c>
      <c r="B900">
        <v>629</v>
      </c>
      <c r="C900" t="s">
        <v>990</v>
      </c>
      <c r="D900">
        <v>0</v>
      </c>
      <c r="E900" s="387">
        <v>44026275.729999997</v>
      </c>
      <c r="F900" s="387">
        <v>233232821.43000001</v>
      </c>
      <c r="G900" s="387">
        <v>-189206545.69999999</v>
      </c>
    </row>
    <row r="901" spans="1:7">
      <c r="A901">
        <v>893</v>
      </c>
      <c r="B901">
        <v>62901</v>
      </c>
      <c r="C901" t="s">
        <v>991</v>
      </c>
      <c r="D901">
        <v>0</v>
      </c>
      <c r="E901" s="387">
        <v>8808.07</v>
      </c>
      <c r="F901" s="387">
        <v>438651.93</v>
      </c>
      <c r="G901" s="387">
        <v>-429843.86</v>
      </c>
    </row>
    <row r="902" spans="1:7">
      <c r="A902">
        <v>894</v>
      </c>
      <c r="B902">
        <v>62903</v>
      </c>
      <c r="C902" t="s">
        <v>992</v>
      </c>
      <c r="D902">
        <v>0</v>
      </c>
      <c r="E902">
        <v>0</v>
      </c>
      <c r="F902" s="387">
        <v>26175</v>
      </c>
      <c r="G902" s="387">
        <v>-26175</v>
      </c>
    </row>
    <row r="903" spans="1:7">
      <c r="A903">
        <v>895</v>
      </c>
      <c r="B903">
        <v>62907</v>
      </c>
      <c r="C903" t="s">
        <v>993</v>
      </c>
      <c r="D903">
        <v>0</v>
      </c>
      <c r="E903" s="387">
        <v>2134</v>
      </c>
      <c r="F903" s="387">
        <v>80082.44</v>
      </c>
      <c r="G903" s="387">
        <v>-77948.44</v>
      </c>
    </row>
    <row r="904" spans="1:7">
      <c r="A904">
        <v>896</v>
      </c>
      <c r="B904">
        <v>62910</v>
      </c>
      <c r="C904" t="s">
        <v>994</v>
      </c>
      <c r="D904">
        <v>0</v>
      </c>
      <c r="E904">
        <v>0</v>
      </c>
      <c r="F904" s="387">
        <v>247942</v>
      </c>
      <c r="G904" s="387">
        <v>-247942</v>
      </c>
    </row>
    <row r="905" spans="1:7">
      <c r="A905">
        <v>897</v>
      </c>
      <c r="B905">
        <v>62915</v>
      </c>
      <c r="C905" t="s">
        <v>995</v>
      </c>
      <c r="D905">
        <v>0</v>
      </c>
      <c r="E905" s="387">
        <v>3500</v>
      </c>
      <c r="F905" s="387">
        <v>3500</v>
      </c>
      <c r="G905">
        <v>0</v>
      </c>
    </row>
    <row r="906" spans="1:7">
      <c r="A906">
        <v>898</v>
      </c>
      <c r="B906">
        <v>62916</v>
      </c>
      <c r="C906" t="s">
        <v>996</v>
      </c>
      <c r="D906">
        <v>0</v>
      </c>
      <c r="E906">
        <v>0</v>
      </c>
      <c r="F906" s="387">
        <v>18000</v>
      </c>
      <c r="G906" s="387">
        <v>-18000</v>
      </c>
    </row>
    <row r="907" spans="1:7">
      <c r="A907">
        <v>899</v>
      </c>
      <c r="B907">
        <v>62917</v>
      </c>
      <c r="C907" t="s">
        <v>997</v>
      </c>
      <c r="D907">
        <v>0</v>
      </c>
      <c r="E907" s="387">
        <v>3000</v>
      </c>
      <c r="F907" s="387">
        <v>3101069</v>
      </c>
      <c r="G907" s="387">
        <v>-3098069</v>
      </c>
    </row>
    <row r="908" spans="1:7">
      <c r="A908">
        <v>900</v>
      </c>
      <c r="B908">
        <v>62918</v>
      </c>
      <c r="C908" t="s">
        <v>998</v>
      </c>
      <c r="D908">
        <v>0</v>
      </c>
      <c r="E908" s="387">
        <v>56895</v>
      </c>
      <c r="F908" s="387">
        <v>14503763</v>
      </c>
      <c r="G908" s="387">
        <v>-14446868</v>
      </c>
    </row>
    <row r="909" spans="1:7">
      <c r="A909">
        <v>901</v>
      </c>
      <c r="B909">
        <v>62919</v>
      </c>
      <c r="C909" t="s">
        <v>999</v>
      </c>
      <c r="D909">
        <v>0</v>
      </c>
      <c r="E909" s="387">
        <v>274781.2</v>
      </c>
      <c r="F909" s="387">
        <v>274830.2</v>
      </c>
      <c r="G909">
        <v>-49</v>
      </c>
    </row>
    <row r="910" spans="1:7">
      <c r="A910">
        <v>902</v>
      </c>
      <c r="B910">
        <v>62920</v>
      </c>
      <c r="C910" t="s">
        <v>1000</v>
      </c>
      <c r="D910">
        <v>0</v>
      </c>
      <c r="E910" s="387">
        <v>2273638.71</v>
      </c>
      <c r="F910" s="387">
        <v>9092874.9000000004</v>
      </c>
      <c r="G910" s="387">
        <v>-6819236.1900000004</v>
      </c>
    </row>
    <row r="911" spans="1:7">
      <c r="A911">
        <v>903</v>
      </c>
      <c r="B911">
        <v>62921</v>
      </c>
      <c r="C911" t="s">
        <v>1001</v>
      </c>
      <c r="D911">
        <v>0</v>
      </c>
      <c r="E911">
        <v>0</v>
      </c>
      <c r="F911" s="387">
        <v>1119712</v>
      </c>
      <c r="G911" s="387">
        <v>-1119712</v>
      </c>
    </row>
    <row r="912" spans="1:7">
      <c r="A912">
        <v>904</v>
      </c>
      <c r="B912">
        <v>62922</v>
      </c>
      <c r="C912" t="s">
        <v>1002</v>
      </c>
      <c r="D912">
        <v>0</v>
      </c>
      <c r="E912" s="387">
        <v>7163768.3399999999</v>
      </c>
      <c r="F912" s="387">
        <v>7163768.3399999999</v>
      </c>
      <c r="G912">
        <v>0</v>
      </c>
    </row>
    <row r="913" spans="1:7">
      <c r="A913">
        <v>905</v>
      </c>
      <c r="B913">
        <v>62923</v>
      </c>
      <c r="C913" t="s">
        <v>1003</v>
      </c>
      <c r="D913">
        <v>0</v>
      </c>
      <c r="E913" s="387">
        <v>10835711.550000001</v>
      </c>
      <c r="F913" s="387">
        <v>71925428.170000002</v>
      </c>
      <c r="G913" s="387">
        <v>-61089716.619999997</v>
      </c>
    </row>
    <row r="914" spans="1:7">
      <c r="A914">
        <v>906</v>
      </c>
      <c r="B914">
        <v>62924</v>
      </c>
      <c r="C914" t="s">
        <v>1004</v>
      </c>
      <c r="D914">
        <v>0</v>
      </c>
      <c r="E914" s="387">
        <v>15455</v>
      </c>
      <c r="F914" s="387">
        <v>47811.12</v>
      </c>
      <c r="G914" s="387">
        <v>-32356.12</v>
      </c>
    </row>
    <row r="915" spans="1:7">
      <c r="A915">
        <v>907</v>
      </c>
      <c r="B915">
        <v>62926</v>
      </c>
      <c r="C915" t="s">
        <v>1005</v>
      </c>
      <c r="D915">
        <v>0</v>
      </c>
      <c r="E915">
        <v>0</v>
      </c>
      <c r="F915" s="387">
        <v>5812.5</v>
      </c>
      <c r="G915" s="387">
        <v>-5812.5</v>
      </c>
    </row>
    <row r="916" spans="1:7">
      <c r="A916">
        <v>908</v>
      </c>
      <c r="B916">
        <v>62927</v>
      </c>
      <c r="C916" t="s">
        <v>1006</v>
      </c>
      <c r="D916">
        <v>0</v>
      </c>
      <c r="E916">
        <v>0</v>
      </c>
      <c r="F916" s="387">
        <v>194292</v>
      </c>
      <c r="G916" s="387">
        <v>-194292</v>
      </c>
    </row>
    <row r="917" spans="1:7">
      <c r="A917">
        <v>909</v>
      </c>
      <c r="B917">
        <v>62929</v>
      </c>
      <c r="C917" t="s">
        <v>1007</v>
      </c>
      <c r="D917">
        <v>0</v>
      </c>
      <c r="E917" s="387">
        <v>752795.89</v>
      </c>
      <c r="F917" s="387">
        <v>752795.89</v>
      </c>
      <c r="G917">
        <v>0</v>
      </c>
    </row>
    <row r="918" spans="1:7">
      <c r="A918">
        <v>910</v>
      </c>
      <c r="B918">
        <v>62932</v>
      </c>
      <c r="C918" t="s">
        <v>1008</v>
      </c>
      <c r="D918">
        <v>0</v>
      </c>
      <c r="E918" s="387">
        <v>205986</v>
      </c>
      <c r="F918" s="387">
        <v>205986</v>
      </c>
      <c r="G918">
        <v>0</v>
      </c>
    </row>
    <row r="919" spans="1:7">
      <c r="A919">
        <v>911</v>
      </c>
      <c r="B919">
        <v>62933</v>
      </c>
      <c r="C919" t="s">
        <v>1009</v>
      </c>
      <c r="D919">
        <v>0</v>
      </c>
      <c r="E919">
        <v>413</v>
      </c>
      <c r="F919">
        <v>413</v>
      </c>
      <c r="G919">
        <v>0</v>
      </c>
    </row>
    <row r="920" spans="1:7">
      <c r="A920">
        <v>912</v>
      </c>
      <c r="B920">
        <v>62943</v>
      </c>
      <c r="C920" t="s">
        <v>1010</v>
      </c>
      <c r="D920">
        <v>0</v>
      </c>
      <c r="E920">
        <v>0</v>
      </c>
      <c r="F920" s="387">
        <v>2633501.15</v>
      </c>
      <c r="G920" s="387">
        <v>-2633501.15</v>
      </c>
    </row>
    <row r="921" spans="1:7">
      <c r="A921">
        <v>913</v>
      </c>
      <c r="B921">
        <v>62950</v>
      </c>
      <c r="C921" t="s">
        <v>1011</v>
      </c>
      <c r="D921">
        <v>0</v>
      </c>
      <c r="E921" s="387">
        <v>22418133.129999999</v>
      </c>
      <c r="F921" s="387">
        <v>113260040.95</v>
      </c>
      <c r="G921" s="387">
        <v>-90841907.819999993</v>
      </c>
    </row>
    <row r="922" spans="1:7">
      <c r="A922">
        <v>914</v>
      </c>
      <c r="B922">
        <v>62951</v>
      </c>
      <c r="C922" t="s">
        <v>1012</v>
      </c>
      <c r="D922">
        <v>0</v>
      </c>
      <c r="E922" s="387">
        <v>1602</v>
      </c>
      <c r="F922" s="387">
        <v>5190</v>
      </c>
      <c r="G922" s="387">
        <v>-3588</v>
      </c>
    </row>
    <row r="923" spans="1:7">
      <c r="A923">
        <v>915</v>
      </c>
      <c r="B923">
        <v>62952</v>
      </c>
      <c r="C923" t="s">
        <v>1013</v>
      </c>
      <c r="D923">
        <v>0</v>
      </c>
      <c r="E923" s="387">
        <v>1785.84</v>
      </c>
      <c r="F923" s="387">
        <v>1785.84</v>
      </c>
      <c r="G923">
        <v>0</v>
      </c>
    </row>
    <row r="924" spans="1:7">
      <c r="A924">
        <v>916</v>
      </c>
      <c r="B924">
        <v>62961</v>
      </c>
      <c r="C924" t="s">
        <v>1014</v>
      </c>
      <c r="D924">
        <v>0</v>
      </c>
      <c r="E924" s="387">
        <v>7868</v>
      </c>
      <c r="F924" s="387">
        <v>7868</v>
      </c>
      <c r="G924">
        <v>0</v>
      </c>
    </row>
    <row r="925" spans="1:7">
      <c r="A925">
        <v>917</v>
      </c>
      <c r="B925">
        <v>62963</v>
      </c>
      <c r="C925" t="s">
        <v>1015</v>
      </c>
      <c r="D925">
        <v>0</v>
      </c>
      <c r="E925">
        <v>0</v>
      </c>
      <c r="F925" s="387">
        <v>8121528</v>
      </c>
      <c r="G925" s="387">
        <v>-8121528</v>
      </c>
    </row>
    <row r="926" spans="1:7">
      <c r="A926">
        <v>918</v>
      </c>
      <c r="B926">
        <v>63</v>
      </c>
      <c r="C926" t="s">
        <v>1016</v>
      </c>
      <c r="D926">
        <v>0</v>
      </c>
      <c r="E926" s="387">
        <v>2248770964.21</v>
      </c>
      <c r="F926" s="387">
        <v>4425893044.0900002</v>
      </c>
      <c r="G926" s="387">
        <v>-2177122079.8800001</v>
      </c>
    </row>
    <row r="927" spans="1:7">
      <c r="A927">
        <v>919</v>
      </c>
      <c r="B927">
        <v>631</v>
      </c>
      <c r="C927" t="s">
        <v>1017</v>
      </c>
      <c r="D927">
        <v>0</v>
      </c>
      <c r="E927" s="387">
        <v>2248740904</v>
      </c>
      <c r="F927" s="387">
        <v>2822608200</v>
      </c>
      <c r="G927" s="387">
        <v>-573867296</v>
      </c>
    </row>
    <row r="928" spans="1:7">
      <c r="A928">
        <v>920</v>
      </c>
      <c r="B928">
        <v>63111</v>
      </c>
      <c r="C928" t="s">
        <v>1018</v>
      </c>
      <c r="D928">
        <v>0</v>
      </c>
      <c r="E928">
        <v>0</v>
      </c>
      <c r="F928" s="387">
        <v>570463800</v>
      </c>
      <c r="G928" s="387">
        <v>-570463800</v>
      </c>
    </row>
    <row r="929" spans="1:7">
      <c r="A929">
        <v>921</v>
      </c>
      <c r="B929">
        <v>63117</v>
      </c>
      <c r="C929" t="s">
        <v>1019</v>
      </c>
      <c r="D929">
        <v>0</v>
      </c>
      <c r="E929" s="387">
        <v>458265500</v>
      </c>
      <c r="F929" s="387">
        <v>458265500</v>
      </c>
      <c r="G929">
        <v>0</v>
      </c>
    </row>
    <row r="930" spans="1:7">
      <c r="A930">
        <v>922</v>
      </c>
      <c r="B930">
        <v>63118</v>
      </c>
      <c r="C930" t="s">
        <v>1020</v>
      </c>
      <c r="D930">
        <v>0</v>
      </c>
      <c r="E930" s="387">
        <v>1786837900</v>
      </c>
      <c r="F930" s="387">
        <v>1786837900</v>
      </c>
      <c r="G930">
        <v>0</v>
      </c>
    </row>
    <row r="931" spans="1:7">
      <c r="A931">
        <v>923</v>
      </c>
      <c r="B931">
        <v>63120</v>
      </c>
      <c r="C931" t="s">
        <v>1021</v>
      </c>
      <c r="D931">
        <v>0</v>
      </c>
      <c r="E931" s="387">
        <v>3637504</v>
      </c>
      <c r="F931" s="387">
        <v>5672000</v>
      </c>
      <c r="G931" s="387">
        <v>-2034496</v>
      </c>
    </row>
    <row r="932" spans="1:7">
      <c r="A932">
        <v>924</v>
      </c>
      <c r="B932">
        <v>63121</v>
      </c>
      <c r="C932" t="s">
        <v>1022</v>
      </c>
      <c r="D932">
        <v>0</v>
      </c>
      <c r="E932">
        <v>0</v>
      </c>
      <c r="F932" s="387">
        <v>1369000</v>
      </c>
      <c r="G932" s="387">
        <v>-1369000</v>
      </c>
    </row>
    <row r="933" spans="1:7">
      <c r="A933">
        <v>925</v>
      </c>
      <c r="B933">
        <v>633</v>
      </c>
      <c r="C933" t="s">
        <v>1023</v>
      </c>
      <c r="D933">
        <v>0</v>
      </c>
      <c r="E933" s="387">
        <v>30060.21</v>
      </c>
      <c r="F933" s="387">
        <v>1603284844.0899999</v>
      </c>
      <c r="G933" s="387">
        <v>-1603254783.8800001</v>
      </c>
    </row>
    <row r="934" spans="1:7">
      <c r="A934">
        <v>926</v>
      </c>
      <c r="B934">
        <v>63300</v>
      </c>
      <c r="C934" t="s">
        <v>1024</v>
      </c>
      <c r="D934">
        <v>0</v>
      </c>
      <c r="E934" s="387">
        <v>30060.21</v>
      </c>
      <c r="F934" s="387">
        <v>1603284844.0899999</v>
      </c>
      <c r="G934" s="387">
        <v>-1603254783.8800001</v>
      </c>
    </row>
    <row r="935" spans="1:7">
      <c r="A935">
        <v>927</v>
      </c>
      <c r="B935">
        <v>64</v>
      </c>
      <c r="C935" t="s">
        <v>1025</v>
      </c>
      <c r="D935">
        <v>0</v>
      </c>
      <c r="E935">
        <v>0</v>
      </c>
      <c r="F935" s="387">
        <v>17625033.48</v>
      </c>
      <c r="G935" s="387">
        <v>-17625033.48</v>
      </c>
    </row>
    <row r="936" spans="1:7">
      <c r="A936">
        <v>928</v>
      </c>
      <c r="B936">
        <v>641</v>
      </c>
      <c r="D936">
        <v>0</v>
      </c>
      <c r="E936">
        <v>0</v>
      </c>
      <c r="F936" s="387">
        <v>17625033.48</v>
      </c>
      <c r="G936" s="387">
        <v>-17625033.48</v>
      </c>
    </row>
    <row r="937" spans="1:7">
      <c r="A937">
        <v>929</v>
      </c>
      <c r="B937">
        <v>64100</v>
      </c>
      <c r="C937" t="s">
        <v>1025</v>
      </c>
      <c r="D937">
        <v>0</v>
      </c>
      <c r="E937">
        <v>0</v>
      </c>
      <c r="F937" s="387">
        <v>17625033.48</v>
      </c>
      <c r="G937" s="387">
        <v>-17625033.48</v>
      </c>
    </row>
    <row r="938" spans="1:7">
      <c r="A938">
        <v>930</v>
      </c>
      <c r="B938">
        <v>65</v>
      </c>
      <c r="C938" t="s">
        <v>1026</v>
      </c>
      <c r="D938">
        <v>0</v>
      </c>
      <c r="E938" s="387">
        <v>178623</v>
      </c>
      <c r="F938" s="387">
        <v>178623</v>
      </c>
      <c r="G938">
        <v>0</v>
      </c>
    </row>
    <row r="939" spans="1:7">
      <c r="A939">
        <v>931</v>
      </c>
      <c r="B939">
        <v>658</v>
      </c>
      <c r="C939" t="s">
        <v>1027</v>
      </c>
      <c r="D939">
        <v>0</v>
      </c>
      <c r="E939" s="387">
        <v>178623</v>
      </c>
      <c r="F939" s="387">
        <v>178623</v>
      </c>
      <c r="G939">
        <v>0</v>
      </c>
    </row>
    <row r="940" spans="1:7">
      <c r="A940">
        <v>932</v>
      </c>
      <c r="B940">
        <v>65800</v>
      </c>
      <c r="C940" t="s">
        <v>1028</v>
      </c>
      <c r="D940">
        <v>0</v>
      </c>
      <c r="E940" s="387">
        <v>178623</v>
      </c>
      <c r="F940" s="387">
        <v>178623</v>
      </c>
      <c r="G940">
        <v>0</v>
      </c>
    </row>
    <row r="941" spans="1:7">
      <c r="A941">
        <v>933</v>
      </c>
      <c r="B941">
        <v>70</v>
      </c>
      <c r="C941" t="s">
        <v>1029</v>
      </c>
      <c r="D941">
        <v>0</v>
      </c>
      <c r="E941" s="387">
        <v>210809594974.54001</v>
      </c>
      <c r="F941" s="387">
        <v>98449432344.649994</v>
      </c>
      <c r="G941" s="387">
        <v>112360162629.89</v>
      </c>
    </row>
    <row r="942" spans="1:7">
      <c r="A942">
        <v>934</v>
      </c>
      <c r="B942">
        <v>701</v>
      </c>
      <c r="C942" t="s">
        <v>1030</v>
      </c>
      <c r="D942">
        <v>0</v>
      </c>
      <c r="E942" s="387">
        <v>208525871820</v>
      </c>
      <c r="F942" s="387">
        <v>98442017507</v>
      </c>
      <c r="G942" s="387">
        <v>110083854313</v>
      </c>
    </row>
    <row r="943" spans="1:7">
      <c r="A943">
        <v>935</v>
      </c>
      <c r="B943">
        <v>70145</v>
      </c>
      <c r="C943" t="s">
        <v>1031</v>
      </c>
      <c r="D943">
        <v>0</v>
      </c>
      <c r="E943" s="387">
        <v>213413453</v>
      </c>
      <c r="F943" s="387">
        <v>29378743</v>
      </c>
      <c r="G943" s="387">
        <v>184034710</v>
      </c>
    </row>
    <row r="944" spans="1:7">
      <c r="A944">
        <v>936</v>
      </c>
      <c r="B944">
        <v>70146</v>
      </c>
      <c r="C944" t="s">
        <v>1032</v>
      </c>
      <c r="D944">
        <v>0</v>
      </c>
      <c r="E944" s="387">
        <v>61470065</v>
      </c>
      <c r="F944" s="387">
        <v>8530441</v>
      </c>
      <c r="G944" s="387">
        <v>52939624</v>
      </c>
    </row>
    <row r="945" spans="1:7">
      <c r="A945">
        <v>937</v>
      </c>
      <c r="B945">
        <v>70190</v>
      </c>
      <c r="C945" t="s">
        <v>1033</v>
      </c>
      <c r="D945">
        <v>0</v>
      </c>
      <c r="E945" s="387">
        <v>208250988302</v>
      </c>
      <c r="F945" s="387">
        <v>98404108323</v>
      </c>
      <c r="G945" s="387">
        <v>109846879979</v>
      </c>
    </row>
    <row r="946" spans="1:7">
      <c r="A946">
        <v>938</v>
      </c>
      <c r="B946">
        <v>704</v>
      </c>
      <c r="C946" t="s">
        <v>1034</v>
      </c>
      <c r="D946">
        <v>0</v>
      </c>
      <c r="E946" s="387">
        <v>2185819502</v>
      </c>
      <c r="F946">
        <v>0</v>
      </c>
      <c r="G946" s="387">
        <v>2185819502</v>
      </c>
    </row>
    <row r="947" spans="1:7">
      <c r="A947">
        <v>939</v>
      </c>
      <c r="B947">
        <v>70410</v>
      </c>
      <c r="C947" t="s">
        <v>1035</v>
      </c>
      <c r="D947">
        <v>0</v>
      </c>
      <c r="E947" s="387">
        <v>2185819502</v>
      </c>
      <c r="F947">
        <v>0</v>
      </c>
      <c r="G947" s="387">
        <v>2185819502</v>
      </c>
    </row>
    <row r="948" spans="1:7">
      <c r="A948">
        <v>940</v>
      </c>
      <c r="B948">
        <v>706</v>
      </c>
      <c r="C948" t="s">
        <v>1036</v>
      </c>
      <c r="D948">
        <v>0</v>
      </c>
      <c r="E948" s="387">
        <v>97903652.540000007</v>
      </c>
      <c r="F948" s="387">
        <v>7414837.6500000004</v>
      </c>
      <c r="G948" s="387">
        <v>90488814.890000001</v>
      </c>
    </row>
    <row r="949" spans="1:7">
      <c r="A949">
        <v>941</v>
      </c>
      <c r="B949">
        <v>70604</v>
      </c>
      <c r="C949" t="s">
        <v>1037</v>
      </c>
      <c r="D949">
        <v>0</v>
      </c>
      <c r="E949" s="387">
        <v>90380983.540000007</v>
      </c>
      <c r="F949" s="387">
        <v>7300251.1500000004</v>
      </c>
      <c r="G949" s="387">
        <v>83080732.390000001</v>
      </c>
    </row>
    <row r="950" spans="1:7">
      <c r="A950">
        <v>942</v>
      </c>
      <c r="B950">
        <v>70606</v>
      </c>
      <c r="C950" t="s">
        <v>1038</v>
      </c>
      <c r="D950">
        <v>0</v>
      </c>
      <c r="E950" s="387">
        <v>7522669</v>
      </c>
      <c r="F950" s="387">
        <v>114586.5</v>
      </c>
      <c r="G950" s="387">
        <v>7408082.5</v>
      </c>
    </row>
    <row r="951" spans="1:7">
      <c r="A951">
        <v>943</v>
      </c>
      <c r="B951">
        <v>73</v>
      </c>
      <c r="C951" t="s">
        <v>680</v>
      </c>
      <c r="D951">
        <v>0</v>
      </c>
      <c r="E951" s="387">
        <v>25634603.870000001</v>
      </c>
      <c r="F951" s="387">
        <v>3172507.16</v>
      </c>
      <c r="G951" s="387">
        <v>22462096.710000001</v>
      </c>
    </row>
    <row r="952" spans="1:7">
      <c r="A952">
        <v>944</v>
      </c>
      <c r="B952">
        <v>731</v>
      </c>
      <c r="D952">
        <v>0</v>
      </c>
      <c r="E952" s="387">
        <v>25634603.870000001</v>
      </c>
      <c r="F952" s="387">
        <v>3172507.16</v>
      </c>
      <c r="G952" s="387">
        <v>22462096.710000001</v>
      </c>
    </row>
    <row r="953" spans="1:7">
      <c r="A953">
        <v>945</v>
      </c>
      <c r="B953">
        <v>73100</v>
      </c>
      <c r="C953" t="s">
        <v>1039</v>
      </c>
      <c r="D953">
        <v>0</v>
      </c>
      <c r="E953" s="387">
        <v>25634603.870000001</v>
      </c>
      <c r="F953" s="387">
        <v>3172507.16</v>
      </c>
      <c r="G953" s="387">
        <v>22462096.710000001</v>
      </c>
    </row>
    <row r="954" spans="1:7">
      <c r="A954">
        <v>946</v>
      </c>
      <c r="B954">
        <v>74</v>
      </c>
      <c r="C954" t="s">
        <v>1040</v>
      </c>
      <c r="D954">
        <v>0</v>
      </c>
      <c r="E954" s="387">
        <v>1101012104.1300001</v>
      </c>
      <c r="F954" s="387">
        <v>459771332.91000003</v>
      </c>
      <c r="G954" s="387">
        <v>641240771.22000003</v>
      </c>
    </row>
    <row r="955" spans="1:7">
      <c r="A955">
        <v>947</v>
      </c>
      <c r="B955">
        <v>741</v>
      </c>
      <c r="C955" t="s">
        <v>1041</v>
      </c>
      <c r="D955">
        <v>0</v>
      </c>
      <c r="E955" s="387">
        <v>261187383.90000001</v>
      </c>
      <c r="F955" s="387">
        <v>60771730.490000002</v>
      </c>
      <c r="G955" s="387">
        <v>200415653.41</v>
      </c>
    </row>
    <row r="956" spans="1:7">
      <c r="A956">
        <v>948</v>
      </c>
      <c r="B956">
        <v>74100</v>
      </c>
      <c r="C956" t="s">
        <v>1042</v>
      </c>
      <c r="D956">
        <v>0</v>
      </c>
      <c r="E956" s="387">
        <v>258914912.16</v>
      </c>
      <c r="F956" s="387">
        <v>60743730.490000002</v>
      </c>
      <c r="G956" s="387">
        <v>198171181.66999999</v>
      </c>
    </row>
    <row r="957" spans="1:7">
      <c r="A957">
        <v>949</v>
      </c>
      <c r="B957">
        <v>74110</v>
      </c>
      <c r="C957" t="s">
        <v>1043</v>
      </c>
      <c r="D957">
        <v>0</v>
      </c>
      <c r="E957" s="387">
        <v>2272471.7400000002</v>
      </c>
      <c r="F957" s="387">
        <v>28000</v>
      </c>
      <c r="G957" s="387">
        <v>2244471.7400000002</v>
      </c>
    </row>
    <row r="958" spans="1:7">
      <c r="A958">
        <v>950</v>
      </c>
      <c r="B958">
        <v>742</v>
      </c>
      <c r="C958" t="s">
        <v>1044</v>
      </c>
      <c r="D958">
        <v>0</v>
      </c>
      <c r="E958" s="387">
        <v>7148298.3099999996</v>
      </c>
      <c r="F958" s="387">
        <v>2972710.47</v>
      </c>
      <c r="G958" s="387">
        <v>4175587.84</v>
      </c>
    </row>
    <row r="959" spans="1:7">
      <c r="A959">
        <v>951</v>
      </c>
      <c r="B959">
        <v>74200</v>
      </c>
      <c r="C959" t="s">
        <v>1045</v>
      </c>
      <c r="D959">
        <v>0</v>
      </c>
      <c r="E959" s="387">
        <v>7148298.3099999996</v>
      </c>
      <c r="F959" s="387">
        <v>2972710.47</v>
      </c>
      <c r="G959" s="387">
        <v>4175587.84</v>
      </c>
    </row>
    <row r="960" spans="1:7">
      <c r="A960">
        <v>952</v>
      </c>
      <c r="B960">
        <v>743</v>
      </c>
      <c r="C960" t="s">
        <v>1046</v>
      </c>
      <c r="D960">
        <v>0</v>
      </c>
      <c r="E960" s="387">
        <v>13369938.32</v>
      </c>
      <c r="F960" s="387">
        <v>9966714.25</v>
      </c>
      <c r="G960" s="387">
        <v>3403224.07</v>
      </c>
    </row>
    <row r="961" spans="1:7">
      <c r="A961">
        <v>953</v>
      </c>
      <c r="B961">
        <v>74300</v>
      </c>
      <c r="C961" t="s">
        <v>1046</v>
      </c>
      <c r="D961">
        <v>0</v>
      </c>
      <c r="E961" s="387">
        <v>13369938.32</v>
      </c>
      <c r="F961" s="387">
        <v>9966714.25</v>
      </c>
      <c r="G961" s="387">
        <v>3403224.07</v>
      </c>
    </row>
    <row r="962" spans="1:7">
      <c r="A962">
        <v>954</v>
      </c>
      <c r="B962">
        <v>744</v>
      </c>
      <c r="C962" t="s">
        <v>1047</v>
      </c>
      <c r="D962">
        <v>0</v>
      </c>
      <c r="E962" s="387">
        <v>1380</v>
      </c>
      <c r="F962">
        <v>0</v>
      </c>
      <c r="G962" s="387">
        <v>1380</v>
      </c>
    </row>
    <row r="963" spans="1:7">
      <c r="A963">
        <v>955</v>
      </c>
      <c r="B963">
        <v>74400</v>
      </c>
      <c r="C963" t="s">
        <v>1047</v>
      </c>
      <c r="D963">
        <v>0</v>
      </c>
      <c r="E963" s="387">
        <v>1380</v>
      </c>
      <c r="F963">
        <v>0</v>
      </c>
      <c r="G963" s="387">
        <v>1380</v>
      </c>
    </row>
    <row r="964" spans="1:7">
      <c r="A964">
        <v>956</v>
      </c>
      <c r="B964">
        <v>745</v>
      </c>
      <c r="C964" t="s">
        <v>1048</v>
      </c>
      <c r="D964">
        <v>0</v>
      </c>
      <c r="E964" s="387">
        <v>728607321.75999999</v>
      </c>
      <c r="F964" s="387">
        <v>376488610.31</v>
      </c>
      <c r="G964" s="387">
        <v>352118711.44999999</v>
      </c>
    </row>
    <row r="965" spans="1:7">
      <c r="A965">
        <v>957</v>
      </c>
      <c r="B965">
        <v>74500</v>
      </c>
      <c r="C965" t="s">
        <v>1048</v>
      </c>
      <c r="D965">
        <v>0</v>
      </c>
      <c r="E965" s="387">
        <v>728607321.75999999</v>
      </c>
      <c r="F965" s="387">
        <v>376488610.31</v>
      </c>
      <c r="G965" s="387">
        <v>352118711.44999999</v>
      </c>
    </row>
    <row r="966" spans="1:7">
      <c r="A966">
        <v>958</v>
      </c>
      <c r="B966">
        <v>746</v>
      </c>
      <c r="C966" t="s">
        <v>1049</v>
      </c>
      <c r="D966">
        <v>0</v>
      </c>
      <c r="E966" s="387">
        <v>1127648.43</v>
      </c>
      <c r="F966" s="387">
        <v>392439</v>
      </c>
      <c r="G966" s="387">
        <v>735209.43</v>
      </c>
    </row>
    <row r="967" spans="1:7">
      <c r="A967">
        <v>959</v>
      </c>
      <c r="B967">
        <v>74600</v>
      </c>
      <c r="C967" t="s">
        <v>1050</v>
      </c>
      <c r="D967">
        <v>0</v>
      </c>
      <c r="E967" s="387">
        <v>1127648.43</v>
      </c>
      <c r="F967" s="387">
        <v>392439</v>
      </c>
      <c r="G967" s="387">
        <v>735209.43</v>
      </c>
    </row>
    <row r="968" spans="1:7">
      <c r="A968">
        <v>960</v>
      </c>
      <c r="B968">
        <v>747</v>
      </c>
      <c r="C968" t="s">
        <v>1051</v>
      </c>
      <c r="D968">
        <v>0</v>
      </c>
      <c r="E968" s="387">
        <v>7412303.9100000001</v>
      </c>
      <c r="F968" s="387">
        <v>921132.6</v>
      </c>
      <c r="G968" s="387">
        <v>6491171.3099999996</v>
      </c>
    </row>
    <row r="969" spans="1:7">
      <c r="A969">
        <v>961</v>
      </c>
      <c r="B969">
        <v>74700</v>
      </c>
      <c r="C969" t="s">
        <v>1052</v>
      </c>
      <c r="D969">
        <v>0</v>
      </c>
      <c r="E969" s="387">
        <v>6068214.9500000002</v>
      </c>
      <c r="F969" s="387">
        <v>850670.6</v>
      </c>
      <c r="G969" s="387">
        <v>5217544.3499999996</v>
      </c>
    </row>
    <row r="970" spans="1:7">
      <c r="A970">
        <v>962</v>
      </c>
      <c r="B970">
        <v>74701</v>
      </c>
      <c r="C970" t="s">
        <v>1053</v>
      </c>
      <c r="D970">
        <v>0</v>
      </c>
      <c r="E970" s="387">
        <v>1344088.96</v>
      </c>
      <c r="F970" s="387">
        <v>70462</v>
      </c>
      <c r="G970" s="387">
        <v>1273626.96</v>
      </c>
    </row>
    <row r="971" spans="1:7">
      <c r="A971">
        <v>963</v>
      </c>
      <c r="B971">
        <v>748</v>
      </c>
      <c r="C971" t="s">
        <v>1054</v>
      </c>
      <c r="D971">
        <v>0</v>
      </c>
      <c r="E971" s="387">
        <v>81428239.5</v>
      </c>
      <c r="F971" s="387">
        <v>7528405.79</v>
      </c>
      <c r="G971" s="387">
        <v>73899833.709999993</v>
      </c>
    </row>
    <row r="972" spans="1:7">
      <c r="A972">
        <v>964</v>
      </c>
      <c r="B972">
        <v>74800</v>
      </c>
      <c r="C972" t="s">
        <v>1054</v>
      </c>
      <c r="D972">
        <v>0</v>
      </c>
      <c r="E972" s="387">
        <v>81428239.5</v>
      </c>
      <c r="F972" s="387">
        <v>7528405.79</v>
      </c>
      <c r="G972" s="387">
        <v>73899833.709999993</v>
      </c>
    </row>
    <row r="973" spans="1:7">
      <c r="A973">
        <v>965</v>
      </c>
      <c r="B973">
        <v>749</v>
      </c>
      <c r="C973" t="s">
        <v>1055</v>
      </c>
      <c r="D973">
        <v>0</v>
      </c>
      <c r="E973" s="387">
        <v>729590</v>
      </c>
      <c r="F973" s="387">
        <v>729590</v>
      </c>
      <c r="G973">
        <v>0</v>
      </c>
    </row>
    <row r="974" spans="1:7">
      <c r="A974">
        <v>966</v>
      </c>
      <c r="B974">
        <v>74900</v>
      </c>
      <c r="C974" t="s">
        <v>1055</v>
      </c>
      <c r="D974">
        <v>0</v>
      </c>
      <c r="E974" s="387">
        <v>729590</v>
      </c>
      <c r="F974" s="387">
        <v>729590</v>
      </c>
      <c r="G974">
        <v>0</v>
      </c>
    </row>
    <row r="975" spans="1:7">
      <c r="A975">
        <v>967</v>
      </c>
      <c r="B975">
        <v>75</v>
      </c>
      <c r="C975" t="s">
        <v>1056</v>
      </c>
      <c r="D975">
        <v>0</v>
      </c>
      <c r="E975" s="387">
        <v>5387591735.8999996</v>
      </c>
      <c r="F975" s="387">
        <v>1070833129.96</v>
      </c>
      <c r="G975" s="387">
        <v>4316758605.9399996</v>
      </c>
    </row>
    <row r="976" spans="1:7">
      <c r="A976">
        <v>968</v>
      </c>
      <c r="B976">
        <v>751</v>
      </c>
      <c r="C976" t="s">
        <v>1057</v>
      </c>
      <c r="D976">
        <v>0</v>
      </c>
      <c r="E976" s="387">
        <v>3142656409.6799998</v>
      </c>
      <c r="F976" s="387">
        <v>7959413.96</v>
      </c>
      <c r="G976" s="387">
        <v>3134696995.7199998</v>
      </c>
    </row>
    <row r="977" spans="1:7">
      <c r="A977">
        <v>969</v>
      </c>
      <c r="B977">
        <v>75110</v>
      </c>
      <c r="C977" t="s">
        <v>1057</v>
      </c>
      <c r="D977">
        <v>0</v>
      </c>
      <c r="E977" s="387">
        <v>3142656409.6799998</v>
      </c>
      <c r="F977" s="387">
        <v>7959413.96</v>
      </c>
      <c r="G977" s="387">
        <v>3134696995.7199998</v>
      </c>
    </row>
    <row r="978" spans="1:7">
      <c r="A978">
        <v>970</v>
      </c>
      <c r="B978">
        <v>752</v>
      </c>
      <c r="C978" t="s">
        <v>1058</v>
      </c>
      <c r="D978">
        <v>0</v>
      </c>
      <c r="E978" s="387">
        <v>13315979.380000001</v>
      </c>
      <c r="F978" s="387">
        <v>1489</v>
      </c>
      <c r="G978" s="387">
        <v>13314490.380000001</v>
      </c>
    </row>
    <row r="979" spans="1:7">
      <c r="A979">
        <v>971</v>
      </c>
      <c r="B979">
        <v>75210</v>
      </c>
      <c r="C979" t="s">
        <v>1058</v>
      </c>
      <c r="D979">
        <v>0</v>
      </c>
      <c r="E979" s="387">
        <v>13315979.380000001</v>
      </c>
      <c r="F979" s="387">
        <v>1489</v>
      </c>
      <c r="G979" s="387">
        <v>13314490.380000001</v>
      </c>
    </row>
    <row r="980" spans="1:7">
      <c r="A980">
        <v>972</v>
      </c>
      <c r="B980">
        <v>753</v>
      </c>
      <c r="C980" t="s">
        <v>1059</v>
      </c>
      <c r="D980">
        <v>0</v>
      </c>
      <c r="E980" s="387">
        <v>450336417.02999997</v>
      </c>
      <c r="F980" s="387">
        <v>144258.89000000001</v>
      </c>
      <c r="G980" s="387">
        <v>450192158.13999999</v>
      </c>
    </row>
    <row r="981" spans="1:7">
      <c r="A981">
        <v>973</v>
      </c>
      <c r="B981">
        <v>75310</v>
      </c>
      <c r="C981" t="s">
        <v>1059</v>
      </c>
      <c r="D981">
        <v>0</v>
      </c>
      <c r="E981" s="387">
        <v>450336417.02999997</v>
      </c>
      <c r="F981" s="387">
        <v>144258.89000000001</v>
      </c>
      <c r="G981" s="387">
        <v>450192158.13999999</v>
      </c>
    </row>
    <row r="982" spans="1:7">
      <c r="A982">
        <v>974</v>
      </c>
      <c r="B982">
        <v>754</v>
      </c>
      <c r="C982" t="s">
        <v>1060</v>
      </c>
      <c r="D982">
        <v>0</v>
      </c>
      <c r="E982" s="387">
        <v>561184683.48000002</v>
      </c>
      <c r="F982" s="387">
        <v>130077876.41</v>
      </c>
      <c r="G982" s="387">
        <v>431106807.06999999</v>
      </c>
    </row>
    <row r="983" spans="1:7">
      <c r="A983">
        <v>975</v>
      </c>
      <c r="B983">
        <v>75412</v>
      </c>
      <c r="C983" t="s">
        <v>1061</v>
      </c>
      <c r="D983">
        <v>0</v>
      </c>
      <c r="E983" s="387">
        <v>1241388.46</v>
      </c>
      <c r="F983">
        <v>0</v>
      </c>
      <c r="G983" s="387">
        <v>1241388.46</v>
      </c>
    </row>
    <row r="984" spans="1:7">
      <c r="A984">
        <v>976</v>
      </c>
      <c r="B984">
        <v>75413</v>
      </c>
      <c r="C984" t="s">
        <v>1062</v>
      </c>
      <c r="D984">
        <v>0</v>
      </c>
      <c r="E984" s="387">
        <v>130046001.8</v>
      </c>
      <c r="F984" s="387">
        <v>755954.65</v>
      </c>
      <c r="G984" s="387">
        <v>129290047.15000001</v>
      </c>
    </row>
    <row r="985" spans="1:7">
      <c r="A985">
        <v>977</v>
      </c>
      <c r="B985">
        <v>75414</v>
      </c>
      <c r="C985" t="s">
        <v>1063</v>
      </c>
      <c r="D985">
        <v>0</v>
      </c>
      <c r="E985" s="387">
        <v>4072844.81</v>
      </c>
      <c r="F985">
        <v>63</v>
      </c>
      <c r="G985" s="387">
        <v>4072781.81</v>
      </c>
    </row>
    <row r="986" spans="1:7">
      <c r="A986">
        <v>978</v>
      </c>
      <c r="B986">
        <v>75415</v>
      </c>
      <c r="C986" t="s">
        <v>1064</v>
      </c>
      <c r="D986">
        <v>0</v>
      </c>
      <c r="E986" s="387">
        <v>73783836.829999998</v>
      </c>
      <c r="F986" s="387">
        <v>250643.15</v>
      </c>
      <c r="G986" s="387">
        <v>73533193.680000007</v>
      </c>
    </row>
    <row r="987" spans="1:7">
      <c r="A987">
        <v>979</v>
      </c>
      <c r="B987">
        <v>75416</v>
      </c>
      <c r="C987" t="s">
        <v>1065</v>
      </c>
      <c r="D987">
        <v>0</v>
      </c>
      <c r="E987" s="387">
        <v>79127179.689999998</v>
      </c>
      <c r="F987" s="387">
        <v>7372274.2800000003</v>
      </c>
      <c r="G987" s="387">
        <v>71754905.409999996</v>
      </c>
    </row>
    <row r="988" spans="1:7">
      <c r="A988">
        <v>980</v>
      </c>
      <c r="B988">
        <v>75417</v>
      </c>
      <c r="C988" t="s">
        <v>1066</v>
      </c>
      <c r="D988">
        <v>0</v>
      </c>
      <c r="E988" s="387">
        <v>34467545.210000001</v>
      </c>
      <c r="F988" s="387">
        <v>142744.09</v>
      </c>
      <c r="G988" s="387">
        <v>34324801.119999997</v>
      </c>
    </row>
    <row r="989" spans="1:7">
      <c r="A989">
        <v>981</v>
      </c>
      <c r="B989">
        <v>75418</v>
      </c>
      <c r="C989" t="s">
        <v>1067</v>
      </c>
      <c r="D989">
        <v>0</v>
      </c>
      <c r="E989" s="387">
        <v>1513.25</v>
      </c>
      <c r="F989" s="387">
        <v>1513.25</v>
      </c>
      <c r="G989">
        <v>0</v>
      </c>
    </row>
    <row r="990" spans="1:7">
      <c r="A990">
        <v>982</v>
      </c>
      <c r="B990">
        <v>75419</v>
      </c>
      <c r="C990" t="s">
        <v>1068</v>
      </c>
      <c r="D990">
        <v>0</v>
      </c>
      <c r="E990" s="387">
        <v>238444373.43000001</v>
      </c>
      <c r="F990" s="387">
        <v>121554683.98999999</v>
      </c>
      <c r="G990" s="387">
        <v>116889689.44</v>
      </c>
    </row>
    <row r="991" spans="1:7">
      <c r="A991">
        <v>983</v>
      </c>
      <c r="B991">
        <v>755</v>
      </c>
      <c r="C991" t="s">
        <v>1069</v>
      </c>
      <c r="D991">
        <v>0</v>
      </c>
      <c r="E991" s="387">
        <v>14958689.77</v>
      </c>
      <c r="F991" s="387">
        <v>11551113.970000001</v>
      </c>
      <c r="G991" s="387">
        <v>3407575.8</v>
      </c>
    </row>
    <row r="992" spans="1:7">
      <c r="A992">
        <v>984</v>
      </c>
      <c r="B992">
        <v>75510</v>
      </c>
      <c r="C992" t="s">
        <v>1069</v>
      </c>
      <c r="D992">
        <v>0</v>
      </c>
      <c r="E992" s="387">
        <v>14958689.77</v>
      </c>
      <c r="F992" s="387">
        <v>11551113.970000001</v>
      </c>
      <c r="G992" s="387">
        <v>3407575.8</v>
      </c>
    </row>
    <row r="993" spans="1:7">
      <c r="A993">
        <v>985</v>
      </c>
      <c r="B993">
        <v>756</v>
      </c>
      <c r="C993" t="s">
        <v>1070</v>
      </c>
      <c r="D993">
        <v>0</v>
      </c>
      <c r="E993" s="387">
        <v>138296932.41</v>
      </c>
      <c r="F993" s="387">
        <v>13164672.17</v>
      </c>
      <c r="G993" s="387">
        <v>125132260.23999999</v>
      </c>
    </row>
    <row r="994" spans="1:7">
      <c r="A994">
        <v>986</v>
      </c>
      <c r="B994">
        <v>75611</v>
      </c>
      <c r="C994" t="s">
        <v>1071</v>
      </c>
      <c r="D994">
        <v>0</v>
      </c>
      <c r="E994" s="387">
        <v>109559675.04000001</v>
      </c>
      <c r="F994" s="387">
        <v>10455939.65</v>
      </c>
      <c r="G994" s="387">
        <v>99103735.390000001</v>
      </c>
    </row>
    <row r="995" spans="1:7">
      <c r="A995">
        <v>987</v>
      </c>
      <c r="B995">
        <v>75612</v>
      </c>
      <c r="C995" t="s">
        <v>1072</v>
      </c>
      <c r="D995">
        <v>0</v>
      </c>
      <c r="E995" s="387">
        <v>8102967.1699999999</v>
      </c>
      <c r="F995" s="387">
        <v>1138360.52</v>
      </c>
      <c r="G995" s="387">
        <v>6964606.6500000004</v>
      </c>
    </row>
    <row r="996" spans="1:7">
      <c r="A996">
        <v>988</v>
      </c>
      <c r="B996">
        <v>75617</v>
      </c>
      <c r="C996" t="s">
        <v>1073</v>
      </c>
      <c r="D996">
        <v>0</v>
      </c>
      <c r="E996" s="387">
        <v>15239390.060000001</v>
      </c>
      <c r="F996" s="387">
        <v>78581</v>
      </c>
      <c r="G996" s="387">
        <v>15160809.060000001</v>
      </c>
    </row>
    <row r="997" spans="1:7">
      <c r="A997">
        <v>989</v>
      </c>
      <c r="B997">
        <v>75628</v>
      </c>
      <c r="C997" t="s">
        <v>1074</v>
      </c>
      <c r="D997">
        <v>0</v>
      </c>
      <c r="E997" s="387">
        <v>1749085</v>
      </c>
      <c r="F997" s="387">
        <v>65000</v>
      </c>
      <c r="G997" s="387">
        <v>1684085</v>
      </c>
    </row>
    <row r="998" spans="1:7">
      <c r="A998">
        <v>990</v>
      </c>
      <c r="B998">
        <v>75629</v>
      </c>
      <c r="C998" t="s">
        <v>1075</v>
      </c>
      <c r="D998">
        <v>0</v>
      </c>
      <c r="E998" s="387">
        <v>3421440</v>
      </c>
      <c r="F998" s="387">
        <v>1425360</v>
      </c>
      <c r="G998" s="387">
        <v>1996080</v>
      </c>
    </row>
    <row r="999" spans="1:7">
      <c r="A999">
        <v>991</v>
      </c>
      <c r="B999">
        <v>75640</v>
      </c>
      <c r="C999" t="s">
        <v>1076</v>
      </c>
      <c r="D999">
        <v>0</v>
      </c>
      <c r="E999" s="387">
        <v>157430.14000000001</v>
      </c>
      <c r="F999" s="387">
        <v>1380</v>
      </c>
      <c r="G999" s="387">
        <v>156050.14000000001</v>
      </c>
    </row>
    <row r="1000" spans="1:7">
      <c r="A1000">
        <v>992</v>
      </c>
      <c r="B1000">
        <v>75646</v>
      </c>
      <c r="C1000" t="s">
        <v>1077</v>
      </c>
      <c r="D1000">
        <v>0</v>
      </c>
      <c r="E1000" s="387">
        <v>66945</v>
      </c>
      <c r="F1000">
        <v>51</v>
      </c>
      <c r="G1000" s="387">
        <v>66894</v>
      </c>
    </row>
    <row r="1001" spans="1:7">
      <c r="A1001">
        <v>993</v>
      </c>
      <c r="B1001">
        <v>757</v>
      </c>
      <c r="C1001" t="s">
        <v>1078</v>
      </c>
      <c r="D1001">
        <v>0</v>
      </c>
      <c r="E1001" s="387">
        <v>30233546.399999999</v>
      </c>
      <c r="F1001" s="387">
        <v>1239600.1499999999</v>
      </c>
      <c r="G1001" s="387">
        <v>28993946.25</v>
      </c>
    </row>
    <row r="1002" spans="1:7">
      <c r="A1002">
        <v>994</v>
      </c>
      <c r="B1002">
        <v>75710</v>
      </c>
      <c r="C1002" t="s">
        <v>1079</v>
      </c>
      <c r="D1002">
        <v>0</v>
      </c>
      <c r="E1002" s="387">
        <v>266477.5</v>
      </c>
      <c r="F1002" s="387">
        <v>264762.5</v>
      </c>
      <c r="G1002" s="387">
        <v>1715</v>
      </c>
    </row>
    <row r="1003" spans="1:7">
      <c r="A1003">
        <v>995</v>
      </c>
      <c r="B1003">
        <v>75720</v>
      </c>
      <c r="C1003" t="s">
        <v>1080</v>
      </c>
      <c r="D1003">
        <v>0</v>
      </c>
      <c r="E1003" s="387">
        <v>2446</v>
      </c>
      <c r="F1003" s="387">
        <v>2446</v>
      </c>
      <c r="G1003">
        <v>0</v>
      </c>
    </row>
    <row r="1004" spans="1:7">
      <c r="A1004">
        <v>996</v>
      </c>
      <c r="B1004">
        <v>75740</v>
      </c>
      <c r="C1004" t="s">
        <v>1081</v>
      </c>
      <c r="D1004">
        <v>0</v>
      </c>
      <c r="E1004" s="387">
        <v>2414331.9</v>
      </c>
      <c r="F1004" s="387">
        <v>46112.65</v>
      </c>
      <c r="G1004" s="387">
        <v>2368219.25</v>
      </c>
    </row>
    <row r="1005" spans="1:7">
      <c r="A1005">
        <v>997</v>
      </c>
      <c r="B1005">
        <v>75750</v>
      </c>
      <c r="C1005" t="s">
        <v>1082</v>
      </c>
      <c r="D1005">
        <v>0</v>
      </c>
      <c r="E1005" s="387">
        <v>19434</v>
      </c>
      <c r="F1005" s="387">
        <v>8889</v>
      </c>
      <c r="G1005" s="387">
        <v>10545</v>
      </c>
    </row>
    <row r="1006" spans="1:7">
      <c r="A1006">
        <v>998</v>
      </c>
      <c r="B1006">
        <v>75751</v>
      </c>
      <c r="C1006" t="s">
        <v>1083</v>
      </c>
      <c r="D1006">
        <v>0</v>
      </c>
      <c r="E1006" s="387">
        <v>6475592</v>
      </c>
      <c r="F1006" s="387">
        <v>594665</v>
      </c>
      <c r="G1006" s="387">
        <v>5880927</v>
      </c>
    </row>
    <row r="1007" spans="1:7">
      <c r="A1007">
        <v>999</v>
      </c>
      <c r="B1007">
        <v>75761</v>
      </c>
      <c r="C1007" t="s">
        <v>1084</v>
      </c>
      <c r="D1007">
        <v>0</v>
      </c>
      <c r="E1007" s="387">
        <v>19527492</v>
      </c>
      <c r="F1007" s="387">
        <v>37664</v>
      </c>
      <c r="G1007" s="387">
        <v>19489828</v>
      </c>
    </row>
    <row r="1008" spans="1:7">
      <c r="A1008">
        <v>1000</v>
      </c>
      <c r="B1008">
        <v>75769</v>
      </c>
      <c r="C1008" t="s">
        <v>1085</v>
      </c>
      <c r="D1008">
        <v>0</v>
      </c>
      <c r="E1008" s="387">
        <v>25650</v>
      </c>
      <c r="F1008">
        <v>150</v>
      </c>
      <c r="G1008" s="387">
        <v>25500</v>
      </c>
    </row>
    <row r="1009" spans="1:7">
      <c r="A1009">
        <v>1001</v>
      </c>
      <c r="B1009">
        <v>75770</v>
      </c>
      <c r="C1009" t="s">
        <v>1086</v>
      </c>
      <c r="D1009">
        <v>0</v>
      </c>
      <c r="E1009" s="387">
        <v>752559</v>
      </c>
      <c r="F1009" s="387">
        <v>284911</v>
      </c>
      <c r="G1009" s="387">
        <v>467648</v>
      </c>
    </row>
    <row r="1010" spans="1:7">
      <c r="A1010">
        <v>1002</v>
      </c>
      <c r="B1010">
        <v>75772</v>
      </c>
      <c r="C1010" t="s">
        <v>1087</v>
      </c>
      <c r="D1010">
        <v>0</v>
      </c>
      <c r="E1010" s="387">
        <v>749564</v>
      </c>
      <c r="F1010">
        <v>0</v>
      </c>
      <c r="G1010" s="387">
        <v>749564</v>
      </c>
    </row>
    <row r="1011" spans="1:7">
      <c r="A1011">
        <v>1003</v>
      </c>
      <c r="B1011">
        <v>758</v>
      </c>
      <c r="C1011" t="s">
        <v>1088</v>
      </c>
      <c r="D1011">
        <v>0</v>
      </c>
      <c r="E1011" s="387">
        <v>1035829467.1799999</v>
      </c>
      <c r="F1011" s="387">
        <v>236474254.61000001</v>
      </c>
      <c r="G1011" s="387">
        <v>799355212.57000005</v>
      </c>
    </row>
    <row r="1012" spans="1:7">
      <c r="A1012">
        <v>1004</v>
      </c>
      <c r="B1012">
        <v>75810</v>
      </c>
      <c r="C1012" t="s">
        <v>1089</v>
      </c>
      <c r="D1012">
        <v>0</v>
      </c>
      <c r="E1012" s="387">
        <v>289483193</v>
      </c>
      <c r="F1012" s="387">
        <v>1507967.54</v>
      </c>
      <c r="G1012" s="387">
        <v>287975225.45999998</v>
      </c>
    </row>
    <row r="1013" spans="1:7">
      <c r="A1013">
        <v>1005</v>
      </c>
      <c r="B1013">
        <v>75811</v>
      </c>
      <c r="C1013" t="s">
        <v>698</v>
      </c>
      <c r="D1013">
        <v>0</v>
      </c>
      <c r="E1013" s="387">
        <v>172238</v>
      </c>
      <c r="F1013">
        <v>0</v>
      </c>
      <c r="G1013" s="387">
        <v>172238</v>
      </c>
    </row>
    <row r="1014" spans="1:7">
      <c r="A1014">
        <v>1006</v>
      </c>
      <c r="B1014">
        <v>75840</v>
      </c>
      <c r="C1014" t="s">
        <v>1090</v>
      </c>
      <c r="D1014">
        <v>0</v>
      </c>
      <c r="E1014" s="387">
        <v>381145989</v>
      </c>
      <c r="F1014" s="387">
        <v>1291890</v>
      </c>
      <c r="G1014" s="387">
        <v>379854099</v>
      </c>
    </row>
    <row r="1015" spans="1:7">
      <c r="A1015">
        <v>1007</v>
      </c>
      <c r="B1015">
        <v>75841</v>
      </c>
      <c r="C1015" t="s">
        <v>1091</v>
      </c>
      <c r="D1015">
        <v>0</v>
      </c>
      <c r="E1015">
        <v>0</v>
      </c>
      <c r="F1015" s="387">
        <v>227118120</v>
      </c>
      <c r="G1015" s="387">
        <v>-227118120</v>
      </c>
    </row>
    <row r="1016" spans="1:7">
      <c r="A1016">
        <v>1008</v>
      </c>
      <c r="B1016">
        <v>75850</v>
      </c>
      <c r="C1016" t="s">
        <v>1092</v>
      </c>
      <c r="D1016">
        <v>0</v>
      </c>
      <c r="E1016" s="387">
        <v>6039966</v>
      </c>
      <c r="F1016" s="387">
        <v>6950</v>
      </c>
      <c r="G1016" s="387">
        <v>6033016</v>
      </c>
    </row>
    <row r="1017" spans="1:7">
      <c r="A1017">
        <v>1009</v>
      </c>
      <c r="B1017">
        <v>75861</v>
      </c>
      <c r="C1017" t="s">
        <v>1093</v>
      </c>
      <c r="D1017">
        <v>0</v>
      </c>
      <c r="E1017" s="387">
        <v>100188752</v>
      </c>
      <c r="F1017" s="387">
        <v>570062</v>
      </c>
      <c r="G1017" s="387">
        <v>99618690</v>
      </c>
    </row>
    <row r="1018" spans="1:7">
      <c r="A1018">
        <v>1010</v>
      </c>
      <c r="B1018">
        <v>75862</v>
      </c>
      <c r="C1018" t="s">
        <v>1094</v>
      </c>
      <c r="D1018">
        <v>0</v>
      </c>
      <c r="E1018" s="387">
        <v>258608729.18000001</v>
      </c>
      <c r="F1018" s="387">
        <v>5941695.0700000003</v>
      </c>
      <c r="G1018" s="387">
        <v>252667034.11000001</v>
      </c>
    </row>
    <row r="1019" spans="1:7">
      <c r="A1019">
        <v>1011</v>
      </c>
      <c r="B1019">
        <v>75890</v>
      </c>
      <c r="C1019" t="s">
        <v>1095</v>
      </c>
      <c r="D1019">
        <v>0</v>
      </c>
      <c r="E1019" s="387">
        <v>190600</v>
      </c>
      <c r="F1019" s="387">
        <v>37570</v>
      </c>
      <c r="G1019" s="387">
        <v>153030</v>
      </c>
    </row>
    <row r="1020" spans="1:7">
      <c r="A1020">
        <v>1012</v>
      </c>
      <c r="B1020">
        <v>759</v>
      </c>
      <c r="C1020" t="s">
        <v>1096</v>
      </c>
      <c r="D1020">
        <v>0</v>
      </c>
      <c r="E1020" s="387">
        <v>779610.57</v>
      </c>
      <c r="F1020" s="387">
        <v>670220450.79999995</v>
      </c>
      <c r="G1020" s="387">
        <v>-669440840.23000002</v>
      </c>
    </row>
    <row r="1021" spans="1:7">
      <c r="A1021">
        <v>1013</v>
      </c>
      <c r="B1021">
        <v>75900</v>
      </c>
      <c r="C1021" t="s">
        <v>1097</v>
      </c>
      <c r="D1021">
        <v>0</v>
      </c>
      <c r="E1021" s="387">
        <v>779610.57</v>
      </c>
      <c r="F1021" s="387">
        <v>670220450.79999995</v>
      </c>
      <c r="G1021" s="387">
        <v>-669440840.23000002</v>
      </c>
    </row>
    <row r="1022" spans="1:7">
      <c r="A1022">
        <v>1014</v>
      </c>
      <c r="B1022">
        <v>76</v>
      </c>
      <c r="C1022" t="s">
        <v>1098</v>
      </c>
      <c r="D1022">
        <v>0</v>
      </c>
      <c r="E1022" s="387">
        <v>1489144718.6199999</v>
      </c>
      <c r="F1022" s="387">
        <v>576340700.51999998</v>
      </c>
      <c r="G1022" s="387">
        <v>912804018.10000002</v>
      </c>
    </row>
    <row r="1023" spans="1:7">
      <c r="A1023">
        <v>1015</v>
      </c>
      <c r="B1023">
        <v>761</v>
      </c>
      <c r="C1023" t="s">
        <v>1099</v>
      </c>
      <c r="D1023">
        <v>0</v>
      </c>
      <c r="E1023" s="387">
        <v>1191948800.02</v>
      </c>
      <c r="F1023" s="387">
        <v>210813636.16</v>
      </c>
      <c r="G1023" s="387">
        <v>981135163.86000001</v>
      </c>
    </row>
    <row r="1024" spans="1:7">
      <c r="A1024">
        <v>1016</v>
      </c>
      <c r="B1024">
        <v>76101</v>
      </c>
      <c r="C1024" t="s">
        <v>1100</v>
      </c>
      <c r="D1024">
        <v>0</v>
      </c>
      <c r="E1024" s="387">
        <v>40126680.049999997</v>
      </c>
      <c r="F1024" s="387">
        <v>7631049.21</v>
      </c>
      <c r="G1024" s="387">
        <v>32495630.84</v>
      </c>
    </row>
    <row r="1025" spans="1:7">
      <c r="A1025">
        <v>1017</v>
      </c>
      <c r="B1025">
        <v>76102</v>
      </c>
      <c r="C1025" t="s">
        <v>1101</v>
      </c>
      <c r="D1025">
        <v>0</v>
      </c>
      <c r="E1025" s="387">
        <v>6644329.5099999998</v>
      </c>
      <c r="F1025" s="387">
        <v>420534</v>
      </c>
      <c r="G1025" s="387">
        <v>6223795.5099999998</v>
      </c>
    </row>
    <row r="1026" spans="1:7">
      <c r="A1026">
        <v>1018</v>
      </c>
      <c r="B1026">
        <v>76104</v>
      </c>
      <c r="C1026" t="s">
        <v>1102</v>
      </c>
      <c r="D1026">
        <v>0</v>
      </c>
      <c r="E1026" s="387">
        <v>1796986</v>
      </c>
      <c r="F1026">
        <v>0</v>
      </c>
      <c r="G1026" s="387">
        <v>1796986</v>
      </c>
    </row>
    <row r="1027" spans="1:7">
      <c r="A1027">
        <v>1019</v>
      </c>
      <c r="B1027">
        <v>76105</v>
      </c>
      <c r="C1027" t="s">
        <v>1103</v>
      </c>
      <c r="D1027">
        <v>0</v>
      </c>
      <c r="E1027" s="387">
        <v>82607</v>
      </c>
      <c r="F1027">
        <v>0</v>
      </c>
      <c r="G1027" s="387">
        <v>82607</v>
      </c>
    </row>
    <row r="1028" spans="1:7">
      <c r="A1028">
        <v>1020</v>
      </c>
      <c r="B1028">
        <v>76107</v>
      </c>
      <c r="C1028" t="s">
        <v>1104</v>
      </c>
      <c r="D1028">
        <v>0</v>
      </c>
      <c r="E1028" s="387">
        <v>897766.21</v>
      </c>
      <c r="F1028" s="387">
        <v>208530.9</v>
      </c>
      <c r="G1028" s="387">
        <v>689235.31</v>
      </c>
    </row>
    <row r="1029" spans="1:7">
      <c r="A1029">
        <v>1021</v>
      </c>
      <c r="B1029">
        <v>76108</v>
      </c>
      <c r="C1029" t="s">
        <v>1105</v>
      </c>
      <c r="D1029">
        <v>0</v>
      </c>
      <c r="E1029" s="387">
        <v>13904380.9</v>
      </c>
      <c r="F1029" s="387">
        <v>5510577.2599999998</v>
      </c>
      <c r="G1029" s="387">
        <v>8393803.6400000006</v>
      </c>
    </row>
    <row r="1030" spans="1:7">
      <c r="A1030">
        <v>1022</v>
      </c>
      <c r="B1030">
        <v>76109</v>
      </c>
      <c r="C1030" t="s">
        <v>1106</v>
      </c>
      <c r="D1030">
        <v>0</v>
      </c>
      <c r="E1030">
        <v>200</v>
      </c>
      <c r="F1030">
        <v>200</v>
      </c>
      <c r="G1030">
        <v>0</v>
      </c>
    </row>
    <row r="1031" spans="1:7">
      <c r="A1031">
        <v>1023</v>
      </c>
      <c r="B1031">
        <v>76110</v>
      </c>
      <c r="C1031" t="s">
        <v>1107</v>
      </c>
      <c r="D1031">
        <v>0</v>
      </c>
      <c r="E1031" s="387">
        <v>824652</v>
      </c>
      <c r="F1031" s="387">
        <v>804652</v>
      </c>
      <c r="G1031" s="387">
        <v>20000</v>
      </c>
    </row>
    <row r="1032" spans="1:7">
      <c r="A1032">
        <v>1024</v>
      </c>
      <c r="B1032">
        <v>76111</v>
      </c>
      <c r="C1032" t="s">
        <v>1108</v>
      </c>
      <c r="D1032">
        <v>0</v>
      </c>
      <c r="E1032" s="387">
        <v>2600351.4900000002</v>
      </c>
      <c r="F1032" s="387">
        <v>469762.47</v>
      </c>
      <c r="G1032" s="387">
        <v>2130589.02</v>
      </c>
    </row>
    <row r="1033" spans="1:7">
      <c r="A1033">
        <v>1025</v>
      </c>
      <c r="B1033">
        <v>76112</v>
      </c>
      <c r="C1033" t="s">
        <v>1109</v>
      </c>
      <c r="D1033">
        <v>0</v>
      </c>
      <c r="E1033" s="387">
        <v>4973521</v>
      </c>
      <c r="F1033" s="387">
        <v>1227340</v>
      </c>
      <c r="G1033" s="387">
        <v>3746181</v>
      </c>
    </row>
    <row r="1034" spans="1:7">
      <c r="A1034">
        <v>1026</v>
      </c>
      <c r="B1034">
        <v>76114</v>
      </c>
      <c r="C1034" t="s">
        <v>1110</v>
      </c>
      <c r="D1034">
        <v>0</v>
      </c>
      <c r="E1034" s="387">
        <v>1623804.24</v>
      </c>
      <c r="F1034" s="387">
        <v>332526</v>
      </c>
      <c r="G1034" s="387">
        <v>1291278.24</v>
      </c>
    </row>
    <row r="1035" spans="1:7">
      <c r="A1035">
        <v>1027</v>
      </c>
      <c r="B1035">
        <v>76115</v>
      </c>
      <c r="C1035" t="s">
        <v>1111</v>
      </c>
      <c r="D1035">
        <v>0</v>
      </c>
      <c r="E1035" s="387">
        <v>7666</v>
      </c>
      <c r="F1035">
        <v>584</v>
      </c>
      <c r="G1035" s="387">
        <v>7082</v>
      </c>
    </row>
    <row r="1036" spans="1:7">
      <c r="A1036">
        <v>1028</v>
      </c>
      <c r="B1036">
        <v>76116</v>
      </c>
      <c r="C1036" t="s">
        <v>1112</v>
      </c>
      <c r="D1036">
        <v>0</v>
      </c>
      <c r="E1036" s="387">
        <v>16579773.800000001</v>
      </c>
      <c r="F1036" s="387">
        <v>2139874.19</v>
      </c>
      <c r="G1036" s="387">
        <v>14439899.609999999</v>
      </c>
    </row>
    <row r="1037" spans="1:7">
      <c r="A1037">
        <v>1029</v>
      </c>
      <c r="B1037">
        <v>76118</v>
      </c>
      <c r="C1037" t="s">
        <v>1113</v>
      </c>
      <c r="D1037">
        <v>0</v>
      </c>
      <c r="E1037" s="387">
        <v>1687598</v>
      </c>
      <c r="F1037" s="387">
        <v>293142.51</v>
      </c>
      <c r="G1037" s="387">
        <v>1394455.49</v>
      </c>
    </row>
    <row r="1038" spans="1:7">
      <c r="A1038">
        <v>1030</v>
      </c>
      <c r="B1038">
        <v>76119</v>
      </c>
      <c r="C1038" t="s">
        <v>1114</v>
      </c>
      <c r="D1038">
        <v>0</v>
      </c>
      <c r="E1038" s="387">
        <v>3979983.14</v>
      </c>
      <c r="F1038" s="387">
        <v>3979983.14</v>
      </c>
      <c r="G1038">
        <v>0</v>
      </c>
    </row>
    <row r="1039" spans="1:7">
      <c r="A1039">
        <v>1031</v>
      </c>
      <c r="B1039">
        <v>76120</v>
      </c>
      <c r="C1039" t="s">
        <v>1115</v>
      </c>
      <c r="D1039">
        <v>0</v>
      </c>
      <c r="E1039" s="387">
        <v>9078</v>
      </c>
      <c r="F1039" s="387">
        <v>9078</v>
      </c>
      <c r="G1039">
        <v>0</v>
      </c>
    </row>
    <row r="1040" spans="1:7">
      <c r="A1040">
        <v>1032</v>
      </c>
      <c r="B1040">
        <v>76121</v>
      </c>
      <c r="C1040" t="s">
        <v>1116</v>
      </c>
      <c r="D1040">
        <v>0</v>
      </c>
      <c r="E1040" s="387">
        <v>9895414.2100000009</v>
      </c>
      <c r="F1040" s="387">
        <v>2803856</v>
      </c>
      <c r="G1040" s="387">
        <v>7091558.21</v>
      </c>
    </row>
    <row r="1041" spans="1:7">
      <c r="A1041">
        <v>1033</v>
      </c>
      <c r="B1041">
        <v>76122</v>
      </c>
      <c r="C1041" t="s">
        <v>1117</v>
      </c>
      <c r="D1041">
        <v>0</v>
      </c>
      <c r="E1041" s="387">
        <v>4198847</v>
      </c>
      <c r="F1041" s="387">
        <v>2144847</v>
      </c>
      <c r="G1041" s="387">
        <v>2054000</v>
      </c>
    </row>
    <row r="1042" spans="1:7">
      <c r="A1042">
        <v>1034</v>
      </c>
      <c r="B1042">
        <v>76123</v>
      </c>
      <c r="C1042" t="s">
        <v>1118</v>
      </c>
      <c r="D1042">
        <v>0</v>
      </c>
      <c r="E1042" s="387">
        <v>10440165.640000001</v>
      </c>
      <c r="F1042" s="387">
        <v>4193016.04</v>
      </c>
      <c r="G1042" s="387">
        <v>6247149.5999999996</v>
      </c>
    </row>
    <row r="1043" spans="1:7">
      <c r="A1043">
        <v>1035</v>
      </c>
      <c r="B1043">
        <v>76124</v>
      </c>
      <c r="C1043" t="s">
        <v>1119</v>
      </c>
      <c r="D1043">
        <v>0</v>
      </c>
      <c r="E1043" s="387">
        <v>4080917.79</v>
      </c>
      <c r="F1043" s="387">
        <v>629599.72</v>
      </c>
      <c r="G1043" s="387">
        <v>3451318.07</v>
      </c>
    </row>
    <row r="1044" spans="1:7">
      <c r="A1044">
        <v>1036</v>
      </c>
      <c r="B1044">
        <v>76125</v>
      </c>
      <c r="C1044" t="s">
        <v>1120</v>
      </c>
      <c r="D1044">
        <v>0</v>
      </c>
      <c r="E1044" s="387">
        <v>4153411.47</v>
      </c>
      <c r="F1044" s="387">
        <v>701693</v>
      </c>
      <c r="G1044" s="387">
        <v>3451718.47</v>
      </c>
    </row>
    <row r="1045" spans="1:7">
      <c r="A1045">
        <v>1037</v>
      </c>
      <c r="B1045">
        <v>76126</v>
      </c>
      <c r="C1045" t="s">
        <v>1121</v>
      </c>
      <c r="D1045">
        <v>0</v>
      </c>
      <c r="E1045" s="387">
        <v>12535</v>
      </c>
      <c r="F1045">
        <v>0</v>
      </c>
      <c r="G1045" s="387">
        <v>12535</v>
      </c>
    </row>
    <row r="1046" spans="1:7">
      <c r="A1046">
        <v>1038</v>
      </c>
      <c r="B1046">
        <v>76127</v>
      </c>
      <c r="C1046" t="s">
        <v>1122</v>
      </c>
      <c r="D1046">
        <v>0</v>
      </c>
      <c r="E1046" s="387">
        <v>620550</v>
      </c>
      <c r="F1046" s="387">
        <v>18000</v>
      </c>
      <c r="G1046" s="387">
        <v>602550</v>
      </c>
    </row>
    <row r="1047" spans="1:7">
      <c r="A1047">
        <v>1039</v>
      </c>
      <c r="B1047">
        <v>76128</v>
      </c>
      <c r="C1047" t="s">
        <v>1123</v>
      </c>
      <c r="D1047">
        <v>0</v>
      </c>
      <c r="E1047" s="387">
        <v>12109659</v>
      </c>
      <c r="F1047">
        <v>0</v>
      </c>
      <c r="G1047" s="387">
        <v>12109659</v>
      </c>
    </row>
    <row r="1048" spans="1:7">
      <c r="A1048">
        <v>1040</v>
      </c>
      <c r="B1048">
        <v>76130</v>
      </c>
      <c r="C1048" t="s">
        <v>1124</v>
      </c>
      <c r="D1048">
        <v>0</v>
      </c>
      <c r="E1048" s="387">
        <v>21060</v>
      </c>
      <c r="F1048">
        <v>0</v>
      </c>
      <c r="G1048" s="387">
        <v>21060</v>
      </c>
    </row>
    <row r="1049" spans="1:7">
      <c r="A1049">
        <v>1041</v>
      </c>
      <c r="B1049">
        <v>76131</v>
      </c>
      <c r="C1049" t="s">
        <v>1125</v>
      </c>
      <c r="D1049">
        <v>0</v>
      </c>
      <c r="E1049" s="387">
        <v>900633</v>
      </c>
      <c r="F1049" s="387">
        <v>106839</v>
      </c>
      <c r="G1049" s="387">
        <v>793794</v>
      </c>
    </row>
    <row r="1050" spans="1:7">
      <c r="A1050">
        <v>1042</v>
      </c>
      <c r="B1050">
        <v>76132</v>
      </c>
      <c r="C1050" t="s">
        <v>1126</v>
      </c>
      <c r="D1050">
        <v>0</v>
      </c>
      <c r="E1050" s="387">
        <v>31457271.5</v>
      </c>
      <c r="F1050" s="387">
        <v>8015248.2999999998</v>
      </c>
      <c r="G1050" s="387">
        <v>23442023.199999999</v>
      </c>
    </row>
    <row r="1051" spans="1:7">
      <c r="A1051">
        <v>1043</v>
      </c>
      <c r="B1051">
        <v>76133</v>
      </c>
      <c r="C1051" t="s">
        <v>1127</v>
      </c>
      <c r="D1051">
        <v>0</v>
      </c>
      <c r="E1051" s="387">
        <v>95185935</v>
      </c>
      <c r="F1051" s="387">
        <v>19169185</v>
      </c>
      <c r="G1051" s="387">
        <v>76016750</v>
      </c>
    </row>
    <row r="1052" spans="1:7">
      <c r="A1052">
        <v>1044</v>
      </c>
      <c r="B1052">
        <v>76136</v>
      </c>
      <c r="C1052" t="s">
        <v>1128</v>
      </c>
      <c r="D1052">
        <v>0</v>
      </c>
      <c r="E1052" s="387">
        <v>1808239.91</v>
      </c>
      <c r="F1052" s="387">
        <v>313225</v>
      </c>
      <c r="G1052" s="387">
        <v>1495014.91</v>
      </c>
    </row>
    <row r="1053" spans="1:7">
      <c r="A1053">
        <v>1045</v>
      </c>
      <c r="B1053">
        <v>76137</v>
      </c>
      <c r="C1053" t="s">
        <v>1129</v>
      </c>
      <c r="D1053">
        <v>0</v>
      </c>
      <c r="E1053" s="387">
        <v>325675126.39999998</v>
      </c>
      <c r="F1053" s="387">
        <v>53156146.579999998</v>
      </c>
      <c r="G1053" s="387">
        <v>272518979.81999999</v>
      </c>
    </row>
    <row r="1054" spans="1:7">
      <c r="A1054">
        <v>1046</v>
      </c>
      <c r="B1054">
        <v>76138</v>
      </c>
      <c r="C1054" t="s">
        <v>1130</v>
      </c>
      <c r="D1054">
        <v>0</v>
      </c>
      <c r="E1054" s="387">
        <v>59810</v>
      </c>
      <c r="F1054">
        <v>0</v>
      </c>
      <c r="G1054" s="387">
        <v>59810</v>
      </c>
    </row>
    <row r="1055" spans="1:7">
      <c r="A1055">
        <v>1047</v>
      </c>
      <c r="B1055">
        <v>76140</v>
      </c>
      <c r="C1055" t="s">
        <v>680</v>
      </c>
      <c r="D1055">
        <v>0</v>
      </c>
      <c r="E1055" s="387">
        <v>8074</v>
      </c>
      <c r="F1055" s="387">
        <v>8074</v>
      </c>
      <c r="G1055">
        <v>0</v>
      </c>
    </row>
    <row r="1056" spans="1:7">
      <c r="A1056">
        <v>1048</v>
      </c>
      <c r="B1056">
        <v>76143</v>
      </c>
      <c r="C1056" t="s">
        <v>1131</v>
      </c>
      <c r="D1056">
        <v>0</v>
      </c>
      <c r="E1056">
        <v>500</v>
      </c>
      <c r="F1056">
        <v>500</v>
      </c>
      <c r="G1056">
        <v>0</v>
      </c>
    </row>
    <row r="1057" spans="1:7">
      <c r="A1057">
        <v>1049</v>
      </c>
      <c r="B1057">
        <v>76150</v>
      </c>
      <c r="C1057" t="s">
        <v>1132</v>
      </c>
      <c r="D1057">
        <v>0</v>
      </c>
      <c r="E1057" s="387">
        <v>89200</v>
      </c>
      <c r="F1057">
        <v>0</v>
      </c>
      <c r="G1057" s="387">
        <v>89200</v>
      </c>
    </row>
    <row r="1058" spans="1:7">
      <c r="A1058">
        <v>1050</v>
      </c>
      <c r="B1058">
        <v>76151</v>
      </c>
      <c r="C1058" t="s">
        <v>1133</v>
      </c>
      <c r="D1058">
        <v>0</v>
      </c>
      <c r="E1058" s="387">
        <v>21328513.129999999</v>
      </c>
      <c r="F1058" s="387">
        <v>2735131.53</v>
      </c>
      <c r="G1058" s="387">
        <v>18593381.600000001</v>
      </c>
    </row>
    <row r="1059" spans="1:7">
      <c r="A1059">
        <v>1051</v>
      </c>
      <c r="B1059">
        <v>76152</v>
      </c>
      <c r="C1059" t="s">
        <v>1134</v>
      </c>
      <c r="D1059">
        <v>0</v>
      </c>
      <c r="E1059" s="387">
        <v>298157.8</v>
      </c>
      <c r="F1059" s="387">
        <v>22075</v>
      </c>
      <c r="G1059" s="387">
        <v>276082.8</v>
      </c>
    </row>
    <row r="1060" spans="1:7">
      <c r="A1060">
        <v>1052</v>
      </c>
      <c r="B1060">
        <v>76153</v>
      </c>
      <c r="C1060" t="s">
        <v>1135</v>
      </c>
      <c r="D1060">
        <v>0</v>
      </c>
      <c r="E1060" s="387">
        <v>44044329.710000001</v>
      </c>
      <c r="F1060" s="387">
        <v>4661491.03</v>
      </c>
      <c r="G1060" s="387">
        <v>39382838.68</v>
      </c>
    </row>
    <row r="1061" spans="1:7">
      <c r="A1061">
        <v>1053</v>
      </c>
      <c r="B1061">
        <v>76154</v>
      </c>
      <c r="C1061" t="s">
        <v>1136</v>
      </c>
      <c r="D1061">
        <v>0</v>
      </c>
      <c r="E1061" s="387">
        <v>1089411</v>
      </c>
      <c r="F1061" s="387">
        <v>183062</v>
      </c>
      <c r="G1061" s="387">
        <v>906349</v>
      </c>
    </row>
    <row r="1062" spans="1:7">
      <c r="A1062">
        <v>1054</v>
      </c>
      <c r="B1062">
        <v>76155</v>
      </c>
      <c r="C1062" t="s">
        <v>1137</v>
      </c>
      <c r="D1062">
        <v>0</v>
      </c>
      <c r="E1062" s="387">
        <v>14480658.970000001</v>
      </c>
      <c r="F1062" s="387">
        <v>2491381.7000000002</v>
      </c>
      <c r="G1062" s="387">
        <v>11989277.27</v>
      </c>
    </row>
    <row r="1063" spans="1:7">
      <c r="A1063">
        <v>1055</v>
      </c>
      <c r="B1063">
        <v>76156</v>
      </c>
      <c r="C1063" t="s">
        <v>1138</v>
      </c>
      <c r="D1063">
        <v>0</v>
      </c>
      <c r="E1063" s="387">
        <v>6868036.71</v>
      </c>
      <c r="F1063" s="387">
        <v>1736760.91</v>
      </c>
      <c r="G1063" s="387">
        <v>5131275.8</v>
      </c>
    </row>
    <row r="1064" spans="1:7">
      <c r="A1064">
        <v>1056</v>
      </c>
      <c r="B1064">
        <v>76157</v>
      </c>
      <c r="C1064" t="s">
        <v>1139</v>
      </c>
      <c r="D1064">
        <v>0</v>
      </c>
      <c r="E1064" s="387">
        <v>1200</v>
      </c>
      <c r="F1064" s="387">
        <v>1200</v>
      </c>
      <c r="G1064">
        <v>0</v>
      </c>
    </row>
    <row r="1065" spans="1:7">
      <c r="A1065">
        <v>1057</v>
      </c>
      <c r="B1065">
        <v>76158</v>
      </c>
      <c r="C1065" t="s">
        <v>1140</v>
      </c>
      <c r="D1065">
        <v>0</v>
      </c>
      <c r="E1065" s="387">
        <v>23710458.649999999</v>
      </c>
      <c r="F1065" s="387">
        <v>1318682.8400000001</v>
      </c>
      <c r="G1065" s="387">
        <v>22391775.809999999</v>
      </c>
    </row>
    <row r="1066" spans="1:7">
      <c r="A1066">
        <v>1058</v>
      </c>
      <c r="B1066">
        <v>76160</v>
      </c>
      <c r="C1066" t="s">
        <v>1141</v>
      </c>
      <c r="D1066">
        <v>0</v>
      </c>
      <c r="E1066" s="387">
        <v>9709085.5700000003</v>
      </c>
      <c r="F1066" s="387">
        <v>1425900.99</v>
      </c>
      <c r="G1066" s="387">
        <v>8283184.5800000001</v>
      </c>
    </row>
    <row r="1067" spans="1:7">
      <c r="A1067">
        <v>1059</v>
      </c>
      <c r="B1067">
        <v>76162</v>
      </c>
      <c r="C1067" t="s">
        <v>1142</v>
      </c>
      <c r="D1067">
        <v>0</v>
      </c>
      <c r="E1067" s="387">
        <v>31950</v>
      </c>
      <c r="F1067">
        <v>100</v>
      </c>
      <c r="G1067" s="387">
        <v>31850</v>
      </c>
    </row>
    <row r="1068" spans="1:7">
      <c r="A1068">
        <v>1060</v>
      </c>
      <c r="B1068">
        <v>76163</v>
      </c>
      <c r="C1068" t="s">
        <v>1143</v>
      </c>
      <c r="D1068">
        <v>0</v>
      </c>
      <c r="E1068" s="387">
        <v>13033994</v>
      </c>
      <c r="F1068" s="387">
        <v>116364</v>
      </c>
      <c r="G1068" s="387">
        <v>12917630</v>
      </c>
    </row>
    <row r="1069" spans="1:7">
      <c r="A1069">
        <v>1061</v>
      </c>
      <c r="B1069">
        <v>76165</v>
      </c>
      <c r="C1069" t="s">
        <v>1144</v>
      </c>
      <c r="D1069">
        <v>0</v>
      </c>
      <c r="E1069" s="387">
        <v>42371</v>
      </c>
      <c r="F1069">
        <v>700</v>
      </c>
      <c r="G1069" s="387">
        <v>41671</v>
      </c>
    </row>
    <row r="1070" spans="1:7">
      <c r="A1070">
        <v>1062</v>
      </c>
      <c r="B1070">
        <v>76166</v>
      </c>
      <c r="C1070" t="s">
        <v>1145</v>
      </c>
      <c r="D1070">
        <v>0</v>
      </c>
      <c r="E1070" s="387">
        <v>42374777.850000001</v>
      </c>
      <c r="F1070" s="387">
        <v>10392245.58</v>
      </c>
      <c r="G1070" s="387">
        <v>31982532.27</v>
      </c>
    </row>
    <row r="1071" spans="1:7">
      <c r="A1071">
        <v>1063</v>
      </c>
      <c r="B1071">
        <v>76167</v>
      </c>
      <c r="C1071" t="s">
        <v>1146</v>
      </c>
      <c r="D1071">
        <v>0</v>
      </c>
      <c r="E1071" s="387">
        <v>35041.879999999997</v>
      </c>
      <c r="F1071" s="387">
        <v>11253.88</v>
      </c>
      <c r="G1071" s="387">
        <v>23788</v>
      </c>
    </row>
    <row r="1072" spans="1:7">
      <c r="A1072">
        <v>1064</v>
      </c>
      <c r="B1072">
        <v>76168</v>
      </c>
      <c r="C1072" t="s">
        <v>1147</v>
      </c>
      <c r="D1072">
        <v>0</v>
      </c>
      <c r="E1072" s="387">
        <v>128183243.08</v>
      </c>
      <c r="F1072" s="387">
        <v>23380938.199999999</v>
      </c>
      <c r="G1072" s="387">
        <v>104802304.88</v>
      </c>
    </row>
    <row r="1073" spans="1:7">
      <c r="A1073">
        <v>1065</v>
      </c>
      <c r="B1073">
        <v>76169</v>
      </c>
      <c r="C1073" t="s">
        <v>1148</v>
      </c>
      <c r="D1073">
        <v>0</v>
      </c>
      <c r="E1073" s="387">
        <v>136980027.18000001</v>
      </c>
      <c r="F1073" s="387">
        <v>21480693.68</v>
      </c>
      <c r="G1073" s="387">
        <v>115499333.5</v>
      </c>
    </row>
    <row r="1074" spans="1:7">
      <c r="A1074">
        <v>1066</v>
      </c>
      <c r="B1074">
        <v>76170</v>
      </c>
      <c r="C1074" t="s">
        <v>1149</v>
      </c>
      <c r="D1074">
        <v>0</v>
      </c>
      <c r="E1074" s="387">
        <v>404884</v>
      </c>
      <c r="F1074" s="387">
        <v>6530</v>
      </c>
      <c r="G1074" s="387">
        <v>398354</v>
      </c>
    </row>
    <row r="1075" spans="1:7">
      <c r="A1075">
        <v>1067</v>
      </c>
      <c r="B1075">
        <v>76171</v>
      </c>
      <c r="C1075" t="s">
        <v>1150</v>
      </c>
      <c r="D1075">
        <v>0</v>
      </c>
      <c r="E1075" s="387">
        <v>727898</v>
      </c>
      <c r="F1075" s="387">
        <v>39412</v>
      </c>
      <c r="G1075" s="387">
        <v>688486</v>
      </c>
    </row>
    <row r="1076" spans="1:7">
      <c r="A1076">
        <v>1068</v>
      </c>
      <c r="B1076">
        <v>76172</v>
      </c>
      <c r="C1076" t="s">
        <v>1151</v>
      </c>
      <c r="D1076">
        <v>0</v>
      </c>
      <c r="E1076" s="387">
        <v>12763809.199999999</v>
      </c>
      <c r="F1076" s="387">
        <v>2605117.2000000002</v>
      </c>
      <c r="G1076" s="387">
        <v>10158692</v>
      </c>
    </row>
    <row r="1077" spans="1:7">
      <c r="A1077">
        <v>1069</v>
      </c>
      <c r="B1077">
        <v>76173</v>
      </c>
      <c r="C1077" t="s">
        <v>1152</v>
      </c>
      <c r="D1077">
        <v>0</v>
      </c>
      <c r="E1077" s="387">
        <v>8250436.8600000003</v>
      </c>
      <c r="F1077" s="387">
        <v>1571884.6</v>
      </c>
      <c r="G1077" s="387">
        <v>6678552.2599999998</v>
      </c>
    </row>
    <row r="1078" spans="1:7">
      <c r="A1078">
        <v>1070</v>
      </c>
      <c r="B1078">
        <v>76175</v>
      </c>
      <c r="C1078" t="s">
        <v>1153</v>
      </c>
      <c r="D1078">
        <v>0</v>
      </c>
      <c r="E1078" s="387">
        <v>10654</v>
      </c>
      <c r="F1078" s="387">
        <v>1232</v>
      </c>
      <c r="G1078" s="387">
        <v>9422</v>
      </c>
    </row>
    <row r="1079" spans="1:7">
      <c r="A1079">
        <v>1071</v>
      </c>
      <c r="B1079">
        <v>76176</v>
      </c>
      <c r="C1079" t="s">
        <v>1154</v>
      </c>
      <c r="D1079">
        <v>0</v>
      </c>
      <c r="E1079" s="387">
        <v>69551</v>
      </c>
      <c r="F1079">
        <v>140</v>
      </c>
      <c r="G1079" s="387">
        <v>69411</v>
      </c>
    </row>
    <row r="1080" spans="1:7">
      <c r="A1080">
        <v>1072</v>
      </c>
      <c r="B1080">
        <v>76178</v>
      </c>
      <c r="C1080" t="s">
        <v>1155</v>
      </c>
      <c r="D1080">
        <v>0</v>
      </c>
      <c r="E1080" s="387">
        <v>2772</v>
      </c>
      <c r="F1080" s="387">
        <v>2772</v>
      </c>
      <c r="G1080">
        <v>0</v>
      </c>
    </row>
    <row r="1081" spans="1:7">
      <c r="A1081">
        <v>1073</v>
      </c>
      <c r="B1081">
        <v>76180</v>
      </c>
      <c r="C1081" t="s">
        <v>1156</v>
      </c>
      <c r="D1081">
        <v>0</v>
      </c>
      <c r="E1081" s="387">
        <v>107384</v>
      </c>
      <c r="F1081" s="387">
        <v>31520</v>
      </c>
      <c r="G1081" s="387">
        <v>75864</v>
      </c>
    </row>
    <row r="1082" spans="1:7">
      <c r="A1082">
        <v>1074</v>
      </c>
      <c r="B1082">
        <v>76181</v>
      </c>
      <c r="C1082" t="s">
        <v>1157</v>
      </c>
      <c r="D1082">
        <v>0</v>
      </c>
      <c r="E1082" s="387">
        <v>144641</v>
      </c>
      <c r="F1082" s="387">
        <v>68904</v>
      </c>
      <c r="G1082" s="387">
        <v>75737</v>
      </c>
    </row>
    <row r="1083" spans="1:7">
      <c r="A1083">
        <v>1075</v>
      </c>
      <c r="B1083">
        <v>76182</v>
      </c>
      <c r="C1083" t="s">
        <v>1158</v>
      </c>
      <c r="D1083">
        <v>0</v>
      </c>
      <c r="E1083" s="387">
        <v>3850</v>
      </c>
      <c r="F1083">
        <v>0</v>
      </c>
      <c r="G1083" s="387">
        <v>3850</v>
      </c>
    </row>
    <row r="1084" spans="1:7">
      <c r="A1084">
        <v>1076</v>
      </c>
      <c r="B1084">
        <v>76185</v>
      </c>
      <c r="C1084" t="s">
        <v>1159</v>
      </c>
      <c r="D1084">
        <v>0</v>
      </c>
      <c r="E1084" s="387">
        <v>483004</v>
      </c>
      <c r="F1084" s="387">
        <v>21820</v>
      </c>
      <c r="G1084" s="387">
        <v>461184</v>
      </c>
    </row>
    <row r="1085" spans="1:7">
      <c r="A1085">
        <v>1077</v>
      </c>
      <c r="B1085">
        <v>76186</v>
      </c>
      <c r="C1085" t="s">
        <v>1160</v>
      </c>
      <c r="D1085">
        <v>0</v>
      </c>
      <c r="E1085" s="387">
        <v>126596</v>
      </c>
      <c r="F1085" s="387">
        <v>15246</v>
      </c>
      <c r="G1085" s="387">
        <v>111350</v>
      </c>
    </row>
    <row r="1086" spans="1:7">
      <c r="A1086">
        <v>1078</v>
      </c>
      <c r="B1086">
        <v>76187</v>
      </c>
      <c r="C1086" t="s">
        <v>1161</v>
      </c>
      <c r="D1086">
        <v>0</v>
      </c>
      <c r="E1086" s="387">
        <v>1963476.47</v>
      </c>
      <c r="F1086" s="387">
        <v>1014579</v>
      </c>
      <c r="G1086" s="387">
        <v>948897.47</v>
      </c>
    </row>
    <row r="1087" spans="1:7">
      <c r="A1087">
        <v>1079</v>
      </c>
      <c r="B1087">
        <v>76190</v>
      </c>
      <c r="C1087" t="s">
        <v>1162</v>
      </c>
      <c r="D1087">
        <v>0</v>
      </c>
      <c r="E1087" s="387">
        <v>16382094.619999999</v>
      </c>
      <c r="F1087" s="387">
        <v>5568530.0999999996</v>
      </c>
      <c r="G1087" s="387">
        <v>10813564.52</v>
      </c>
    </row>
    <row r="1088" spans="1:7">
      <c r="A1088">
        <v>1080</v>
      </c>
      <c r="B1088">
        <v>76193</v>
      </c>
      <c r="C1088" t="s">
        <v>1163</v>
      </c>
      <c r="D1088">
        <v>0</v>
      </c>
      <c r="E1088" s="387">
        <v>9481067.4800000004</v>
      </c>
      <c r="F1088" s="387">
        <v>1510</v>
      </c>
      <c r="G1088" s="387">
        <v>9479557.4800000004</v>
      </c>
    </row>
    <row r="1089" spans="1:7">
      <c r="A1089">
        <v>1081</v>
      </c>
      <c r="B1089">
        <v>76197</v>
      </c>
      <c r="C1089" t="s">
        <v>1164</v>
      </c>
      <c r="D1089">
        <v>0</v>
      </c>
      <c r="E1089" s="387">
        <v>6467538.5999999996</v>
      </c>
      <c r="F1089" s="387">
        <v>6467538.5999999996</v>
      </c>
      <c r="G1089">
        <v>0</v>
      </c>
    </row>
    <row r="1090" spans="1:7">
      <c r="A1090">
        <v>1082</v>
      </c>
      <c r="B1090">
        <v>76198</v>
      </c>
      <c r="C1090" t="s">
        <v>1165</v>
      </c>
      <c r="D1090">
        <v>0</v>
      </c>
      <c r="E1090" s="387">
        <v>45859900</v>
      </c>
      <c r="F1090" s="387">
        <v>9150856</v>
      </c>
      <c r="G1090" s="387">
        <v>36709044</v>
      </c>
    </row>
    <row r="1091" spans="1:7">
      <c r="A1091">
        <v>1083</v>
      </c>
      <c r="B1091">
        <v>76199</v>
      </c>
      <c r="C1091" t="s">
        <v>1166</v>
      </c>
      <c r="D1091">
        <v>0</v>
      </c>
      <c r="E1091" s="387">
        <v>50031259</v>
      </c>
      <c r="F1091">
        <v>0</v>
      </c>
      <c r="G1091" s="387">
        <v>50031259</v>
      </c>
    </row>
    <row r="1092" spans="1:7">
      <c r="A1092">
        <v>1084</v>
      </c>
      <c r="B1092">
        <v>762</v>
      </c>
      <c r="C1092" t="s">
        <v>1167</v>
      </c>
      <c r="D1092">
        <v>0</v>
      </c>
      <c r="E1092" s="387">
        <v>291627763.42000002</v>
      </c>
      <c r="F1092" s="387">
        <v>220874644.21000001</v>
      </c>
      <c r="G1092" s="387">
        <v>70753119.209999993</v>
      </c>
    </row>
    <row r="1093" spans="1:7">
      <c r="A1093">
        <v>1085</v>
      </c>
      <c r="B1093">
        <v>76210</v>
      </c>
      <c r="C1093" t="s">
        <v>1168</v>
      </c>
      <c r="D1093">
        <v>0</v>
      </c>
      <c r="E1093" s="387">
        <v>35021002.100000001</v>
      </c>
      <c r="F1093" s="387">
        <v>28640820.780000001</v>
      </c>
      <c r="G1093" s="387">
        <v>6380181.3200000003</v>
      </c>
    </row>
    <row r="1094" spans="1:7">
      <c r="A1094">
        <v>1086</v>
      </c>
      <c r="B1094">
        <v>76220</v>
      </c>
      <c r="C1094" t="s">
        <v>1169</v>
      </c>
      <c r="D1094">
        <v>0</v>
      </c>
      <c r="E1094" s="387">
        <v>23954478.550000001</v>
      </c>
      <c r="F1094" s="387">
        <v>7612299.8399999999</v>
      </c>
      <c r="G1094" s="387">
        <v>16342178.710000001</v>
      </c>
    </row>
    <row r="1095" spans="1:7">
      <c r="A1095">
        <v>1087</v>
      </c>
      <c r="B1095">
        <v>76231</v>
      </c>
      <c r="C1095" t="s">
        <v>1170</v>
      </c>
      <c r="D1095">
        <v>0</v>
      </c>
      <c r="E1095" s="387">
        <v>149695908.78</v>
      </c>
      <c r="F1095" s="387">
        <v>149695908.78</v>
      </c>
      <c r="G1095">
        <v>0</v>
      </c>
    </row>
    <row r="1096" spans="1:7">
      <c r="A1096">
        <v>1088</v>
      </c>
      <c r="B1096">
        <v>76240</v>
      </c>
      <c r="C1096" t="s">
        <v>1171</v>
      </c>
      <c r="D1096">
        <v>0</v>
      </c>
      <c r="E1096" s="387">
        <v>5924874</v>
      </c>
      <c r="F1096" s="387">
        <v>796201</v>
      </c>
      <c r="G1096" s="387">
        <v>5128673</v>
      </c>
    </row>
    <row r="1097" spans="1:7">
      <c r="A1097">
        <v>1089</v>
      </c>
      <c r="B1097">
        <v>76260</v>
      </c>
      <c r="C1097" t="s">
        <v>1172</v>
      </c>
      <c r="D1097">
        <v>0</v>
      </c>
      <c r="E1097" s="387">
        <v>10146216.449999999</v>
      </c>
      <c r="F1097" s="387">
        <v>704220</v>
      </c>
      <c r="G1097" s="387">
        <v>9441996.4499999993</v>
      </c>
    </row>
    <row r="1098" spans="1:7">
      <c r="A1098">
        <v>1090</v>
      </c>
      <c r="B1098">
        <v>76270</v>
      </c>
      <c r="C1098" t="s">
        <v>1173</v>
      </c>
      <c r="D1098">
        <v>0</v>
      </c>
      <c r="E1098" s="387">
        <v>39539360.990000002</v>
      </c>
      <c r="F1098" s="387">
        <v>5821396.2599999998</v>
      </c>
      <c r="G1098" s="387">
        <v>33717964.729999997</v>
      </c>
    </row>
    <row r="1099" spans="1:7">
      <c r="A1099">
        <v>1091</v>
      </c>
      <c r="B1099">
        <v>76281</v>
      </c>
      <c r="C1099" t="s">
        <v>1174</v>
      </c>
      <c r="D1099">
        <v>0</v>
      </c>
      <c r="E1099" s="387">
        <v>27099590.550000001</v>
      </c>
      <c r="F1099" s="387">
        <v>9089126.9199999999</v>
      </c>
      <c r="G1099" s="387">
        <v>18010463.629999999</v>
      </c>
    </row>
    <row r="1100" spans="1:7">
      <c r="A1100">
        <v>1092</v>
      </c>
      <c r="B1100">
        <v>76282</v>
      </c>
      <c r="C1100" t="s">
        <v>1175</v>
      </c>
      <c r="D1100">
        <v>0</v>
      </c>
      <c r="E1100" s="387">
        <v>246332</v>
      </c>
      <c r="F1100" s="387">
        <v>18514670.629999999</v>
      </c>
      <c r="G1100" s="387">
        <v>-18268338.629999999</v>
      </c>
    </row>
    <row r="1101" spans="1:7">
      <c r="A1101">
        <v>1093</v>
      </c>
      <c r="B1101">
        <v>765</v>
      </c>
      <c r="C1101" t="s">
        <v>1176</v>
      </c>
      <c r="D1101">
        <v>0</v>
      </c>
      <c r="E1101" s="387">
        <v>5127650.18</v>
      </c>
      <c r="F1101" s="387">
        <v>2654708.7799999998</v>
      </c>
      <c r="G1101" s="387">
        <v>2472941.4</v>
      </c>
    </row>
    <row r="1102" spans="1:7">
      <c r="A1102">
        <v>1094</v>
      </c>
      <c r="B1102">
        <v>76501</v>
      </c>
      <c r="C1102" t="s">
        <v>1177</v>
      </c>
      <c r="D1102">
        <v>0</v>
      </c>
      <c r="E1102" s="387">
        <v>1519907.76</v>
      </c>
      <c r="F1102" s="387">
        <v>599923.46</v>
      </c>
      <c r="G1102" s="387">
        <v>919984.3</v>
      </c>
    </row>
    <row r="1103" spans="1:7">
      <c r="A1103">
        <v>1095</v>
      </c>
      <c r="B1103">
        <v>76505</v>
      </c>
      <c r="C1103" t="s">
        <v>1178</v>
      </c>
      <c r="D1103">
        <v>0</v>
      </c>
      <c r="E1103" s="387">
        <v>3607742.42</v>
      </c>
      <c r="F1103" s="387">
        <v>2054785.32</v>
      </c>
      <c r="G1103" s="387">
        <v>1552957.1</v>
      </c>
    </row>
    <row r="1104" spans="1:7">
      <c r="A1104">
        <v>1096</v>
      </c>
      <c r="B1104">
        <v>768</v>
      </c>
      <c r="C1104" t="s">
        <v>1179</v>
      </c>
      <c r="D1104">
        <v>0</v>
      </c>
      <c r="E1104" s="387">
        <v>440505</v>
      </c>
      <c r="F1104" s="387">
        <v>440505</v>
      </c>
      <c r="G1104">
        <v>0</v>
      </c>
    </row>
    <row r="1105" spans="1:7">
      <c r="A1105">
        <v>1097</v>
      </c>
      <c r="B1105">
        <v>76862</v>
      </c>
      <c r="C1105" t="s">
        <v>680</v>
      </c>
      <c r="D1105">
        <v>0</v>
      </c>
      <c r="E1105" s="387">
        <v>440505</v>
      </c>
      <c r="F1105" s="387">
        <v>440505</v>
      </c>
      <c r="G1105">
        <v>0</v>
      </c>
    </row>
    <row r="1106" spans="1:7">
      <c r="A1106">
        <v>1098</v>
      </c>
      <c r="B1106">
        <v>769</v>
      </c>
      <c r="C1106" t="s">
        <v>1180</v>
      </c>
      <c r="D1106">
        <v>0</v>
      </c>
      <c r="E1106">
        <v>0</v>
      </c>
      <c r="F1106" s="387">
        <v>141557206.37</v>
      </c>
      <c r="G1106" s="387">
        <v>-141557206.37</v>
      </c>
    </row>
    <row r="1107" spans="1:7">
      <c r="A1107">
        <v>1099</v>
      </c>
      <c r="B1107">
        <v>76900</v>
      </c>
      <c r="C1107" t="s">
        <v>1180</v>
      </c>
      <c r="D1107">
        <v>0</v>
      </c>
      <c r="E1107">
        <v>0</v>
      </c>
      <c r="F1107" s="387">
        <v>141557206.37</v>
      </c>
      <c r="G1107" s="387">
        <v>-141557206.37</v>
      </c>
    </row>
    <row r="1108" spans="1:7">
      <c r="A1108">
        <v>1100</v>
      </c>
      <c r="B1108">
        <v>77</v>
      </c>
      <c r="C1108" t="s">
        <v>1181</v>
      </c>
      <c r="D1108">
        <v>0</v>
      </c>
      <c r="E1108" s="387">
        <v>3391675062.1999998</v>
      </c>
      <c r="F1108" s="387">
        <v>30070.38</v>
      </c>
      <c r="G1108" s="387">
        <v>3391644991.8200002</v>
      </c>
    </row>
    <row r="1109" spans="1:7">
      <c r="A1109">
        <v>1101</v>
      </c>
      <c r="B1109">
        <v>771</v>
      </c>
      <c r="C1109" t="s">
        <v>1182</v>
      </c>
      <c r="D1109">
        <v>0</v>
      </c>
      <c r="E1109" s="387">
        <v>3391675062.1999998</v>
      </c>
      <c r="F1109" s="387">
        <v>30070.38</v>
      </c>
      <c r="G1109" s="387">
        <v>3391644991.8200002</v>
      </c>
    </row>
    <row r="1110" spans="1:7">
      <c r="A1110">
        <v>1102</v>
      </c>
      <c r="B1110">
        <v>77110</v>
      </c>
      <c r="C1110" t="s">
        <v>1183</v>
      </c>
      <c r="D1110">
        <v>0</v>
      </c>
      <c r="E1110" s="387">
        <v>145551.13</v>
      </c>
      <c r="F1110">
        <v>0</v>
      </c>
      <c r="G1110" s="387">
        <v>145551.13</v>
      </c>
    </row>
    <row r="1111" spans="1:7">
      <c r="A1111">
        <v>1103</v>
      </c>
      <c r="B1111">
        <v>77120</v>
      </c>
      <c r="C1111" t="s">
        <v>1184</v>
      </c>
      <c r="D1111">
        <v>0</v>
      </c>
      <c r="E1111" s="387">
        <v>38257509.490000002</v>
      </c>
      <c r="F1111">
        <v>0</v>
      </c>
      <c r="G1111" s="387">
        <v>38257509.490000002</v>
      </c>
    </row>
    <row r="1112" spans="1:7">
      <c r="A1112">
        <v>1104</v>
      </c>
      <c r="B1112">
        <v>77130</v>
      </c>
      <c r="C1112" t="s">
        <v>1185</v>
      </c>
      <c r="D1112">
        <v>0</v>
      </c>
      <c r="E1112" s="387">
        <v>124149.57</v>
      </c>
      <c r="F1112">
        <v>0</v>
      </c>
      <c r="G1112" s="387">
        <v>124149.57</v>
      </c>
    </row>
    <row r="1113" spans="1:7">
      <c r="A1113">
        <v>1105</v>
      </c>
      <c r="B1113">
        <v>77140</v>
      </c>
      <c r="C1113" t="s">
        <v>1186</v>
      </c>
      <c r="D1113">
        <v>0</v>
      </c>
      <c r="E1113" s="387">
        <v>10549834.32</v>
      </c>
      <c r="F1113">
        <v>0</v>
      </c>
      <c r="G1113" s="387">
        <v>10549834.32</v>
      </c>
    </row>
    <row r="1114" spans="1:7">
      <c r="A1114">
        <v>1106</v>
      </c>
      <c r="B1114">
        <v>77150</v>
      </c>
      <c r="C1114" t="s">
        <v>1187</v>
      </c>
      <c r="D1114">
        <v>0</v>
      </c>
      <c r="E1114" s="387">
        <v>944845429.29999995</v>
      </c>
      <c r="F1114" s="387">
        <v>30070.38</v>
      </c>
      <c r="G1114" s="387">
        <v>944815358.91999996</v>
      </c>
    </row>
    <row r="1115" spans="1:7">
      <c r="A1115">
        <v>1107</v>
      </c>
      <c r="B1115">
        <v>77160</v>
      </c>
      <c r="C1115" t="s">
        <v>1188</v>
      </c>
      <c r="D1115">
        <v>0</v>
      </c>
      <c r="E1115" s="387">
        <v>2350772821.1100001</v>
      </c>
      <c r="F1115">
        <v>0</v>
      </c>
      <c r="G1115" s="387">
        <v>2350772821.1100001</v>
      </c>
    </row>
    <row r="1116" spans="1:7">
      <c r="A1116">
        <v>1108</v>
      </c>
      <c r="B1116">
        <v>77170</v>
      </c>
      <c r="C1116" t="s">
        <v>1189</v>
      </c>
      <c r="D1116">
        <v>0</v>
      </c>
      <c r="E1116" s="387">
        <v>1756555.73</v>
      </c>
      <c r="F1116">
        <v>0</v>
      </c>
      <c r="G1116" s="387">
        <v>1756555.73</v>
      </c>
    </row>
    <row r="1117" spans="1:7">
      <c r="A1117">
        <v>1109</v>
      </c>
      <c r="B1117">
        <v>77180</v>
      </c>
      <c r="C1117" t="s">
        <v>1190</v>
      </c>
      <c r="D1117">
        <v>0</v>
      </c>
      <c r="E1117" s="387">
        <v>8088060.4400000004</v>
      </c>
      <c r="F1117">
        <v>0</v>
      </c>
      <c r="G1117" s="387">
        <v>8088060.4400000004</v>
      </c>
    </row>
    <row r="1118" spans="1:7">
      <c r="A1118">
        <v>1110</v>
      </c>
      <c r="B1118">
        <v>77190</v>
      </c>
      <c r="C1118" t="s">
        <v>1191</v>
      </c>
      <c r="D1118">
        <v>0</v>
      </c>
      <c r="E1118" s="387">
        <v>37135151.109999999</v>
      </c>
      <c r="F1118">
        <v>0</v>
      </c>
      <c r="G1118" s="387">
        <v>37135151.109999999</v>
      </c>
    </row>
    <row r="1119" spans="1:7">
      <c r="A1119">
        <v>1111</v>
      </c>
      <c r="B1119">
        <v>78</v>
      </c>
      <c r="C1119" t="s">
        <v>1192</v>
      </c>
      <c r="D1119">
        <v>0</v>
      </c>
      <c r="E1119" s="387">
        <v>1095354688.02</v>
      </c>
      <c r="F1119" s="387">
        <v>149371606.53</v>
      </c>
      <c r="G1119" s="387">
        <v>945983081.49000001</v>
      </c>
    </row>
    <row r="1120" spans="1:7">
      <c r="A1120">
        <v>1112</v>
      </c>
      <c r="B1120">
        <v>781</v>
      </c>
      <c r="C1120" t="s">
        <v>1193</v>
      </c>
      <c r="D1120">
        <v>0</v>
      </c>
      <c r="E1120" s="387">
        <v>8742721</v>
      </c>
      <c r="F1120">
        <v>0</v>
      </c>
      <c r="G1120" s="387">
        <v>8742721</v>
      </c>
    </row>
    <row r="1121" spans="1:7">
      <c r="A1121">
        <v>1113</v>
      </c>
      <c r="B1121">
        <v>78101</v>
      </c>
      <c r="C1121" t="s">
        <v>1194</v>
      </c>
      <c r="D1121">
        <v>0</v>
      </c>
      <c r="E1121" s="387">
        <v>8742721</v>
      </c>
      <c r="F1121">
        <v>0</v>
      </c>
      <c r="G1121" s="387">
        <v>8742721</v>
      </c>
    </row>
    <row r="1122" spans="1:7">
      <c r="A1122">
        <v>1114</v>
      </c>
      <c r="B1122">
        <v>785</v>
      </c>
      <c r="C1122" t="s">
        <v>1195</v>
      </c>
      <c r="D1122">
        <v>0</v>
      </c>
      <c r="E1122" s="387">
        <v>128883962.59999999</v>
      </c>
      <c r="F1122" s="387">
        <v>42988664.689999998</v>
      </c>
      <c r="G1122" s="387">
        <v>85895297.909999996</v>
      </c>
    </row>
    <row r="1123" spans="1:7">
      <c r="A1123">
        <v>1115</v>
      </c>
      <c r="B1123">
        <v>78580</v>
      </c>
      <c r="C1123" t="s">
        <v>1196</v>
      </c>
      <c r="D1123">
        <v>0</v>
      </c>
      <c r="E1123" s="387">
        <v>18249211.93</v>
      </c>
      <c r="F1123" s="387">
        <v>5799513.6900000004</v>
      </c>
      <c r="G1123" s="387">
        <v>12449698.24</v>
      </c>
    </row>
    <row r="1124" spans="1:7">
      <c r="A1124">
        <v>1116</v>
      </c>
      <c r="B1124">
        <v>78586</v>
      </c>
      <c r="C1124" t="s">
        <v>1197</v>
      </c>
      <c r="D1124">
        <v>0</v>
      </c>
      <c r="E1124" s="387">
        <v>110634750.67</v>
      </c>
      <c r="F1124" s="387">
        <v>37189151</v>
      </c>
      <c r="G1124" s="387">
        <v>73445599.670000002</v>
      </c>
    </row>
    <row r="1125" spans="1:7">
      <c r="A1125">
        <v>1117</v>
      </c>
      <c r="B1125">
        <v>786</v>
      </c>
      <c r="C1125" t="s">
        <v>1198</v>
      </c>
      <c r="D1125">
        <v>0</v>
      </c>
      <c r="E1125" s="387">
        <v>928650635.20000005</v>
      </c>
      <c r="F1125" s="387">
        <v>102284831.06999999</v>
      </c>
      <c r="G1125" s="387">
        <v>826365804.13</v>
      </c>
    </row>
    <row r="1126" spans="1:7">
      <c r="A1126">
        <v>1118</v>
      </c>
      <c r="B1126">
        <v>78600</v>
      </c>
      <c r="C1126" t="s">
        <v>1199</v>
      </c>
      <c r="D1126">
        <v>0</v>
      </c>
      <c r="E1126" s="387">
        <v>928650635.20000005</v>
      </c>
      <c r="F1126" s="387">
        <v>102284831.06999999</v>
      </c>
      <c r="G1126" s="387">
        <v>826365804.13</v>
      </c>
    </row>
    <row r="1127" spans="1:7">
      <c r="A1127">
        <v>1119</v>
      </c>
      <c r="B1127">
        <v>787</v>
      </c>
      <c r="C1127" t="s">
        <v>1200</v>
      </c>
      <c r="D1127">
        <v>0</v>
      </c>
      <c r="E1127" s="387">
        <v>101853</v>
      </c>
      <c r="F1127" s="387">
        <v>19814</v>
      </c>
      <c r="G1127" s="387">
        <v>82039</v>
      </c>
    </row>
    <row r="1128" spans="1:7">
      <c r="A1128">
        <v>1120</v>
      </c>
      <c r="B1128">
        <v>78700</v>
      </c>
      <c r="C1128" t="s">
        <v>1201</v>
      </c>
      <c r="D1128">
        <v>0</v>
      </c>
      <c r="E1128" s="387">
        <v>101853</v>
      </c>
      <c r="F1128" s="387">
        <v>19814</v>
      </c>
      <c r="G1128" s="387">
        <v>82039</v>
      </c>
    </row>
    <row r="1129" spans="1:7">
      <c r="A1129">
        <v>1121</v>
      </c>
      <c r="B1129">
        <v>788</v>
      </c>
      <c r="C1129" t="s">
        <v>1202</v>
      </c>
      <c r="D1129">
        <v>0</v>
      </c>
      <c r="E1129" s="387">
        <v>28975516.219999999</v>
      </c>
      <c r="F1129" s="387">
        <v>3702747.51</v>
      </c>
      <c r="G1129" s="387">
        <v>25272768.710000001</v>
      </c>
    </row>
    <row r="1130" spans="1:7">
      <c r="A1130">
        <v>1122</v>
      </c>
      <c r="B1130">
        <v>78846</v>
      </c>
      <c r="C1130" t="s">
        <v>1203</v>
      </c>
      <c r="D1130">
        <v>0</v>
      </c>
      <c r="E1130" s="387">
        <v>4397437</v>
      </c>
      <c r="F1130" s="387">
        <v>1807949.68</v>
      </c>
      <c r="G1130" s="387">
        <v>2589487.3199999998</v>
      </c>
    </row>
    <row r="1131" spans="1:7">
      <c r="A1131">
        <v>1123</v>
      </c>
      <c r="B1131">
        <v>78847</v>
      </c>
      <c r="C1131" t="s">
        <v>1204</v>
      </c>
      <c r="D1131">
        <v>0</v>
      </c>
      <c r="E1131" s="387">
        <v>33701.32</v>
      </c>
      <c r="F1131">
        <v>0</v>
      </c>
      <c r="G1131" s="387">
        <v>33701.32</v>
      </c>
    </row>
    <row r="1132" spans="1:7">
      <c r="A1132">
        <v>1124</v>
      </c>
      <c r="B1132">
        <v>78850</v>
      </c>
      <c r="C1132" t="s">
        <v>1205</v>
      </c>
      <c r="D1132">
        <v>0</v>
      </c>
      <c r="E1132" s="387">
        <v>39468</v>
      </c>
      <c r="F1132" s="387">
        <v>39468</v>
      </c>
      <c r="G1132">
        <v>0</v>
      </c>
    </row>
    <row r="1133" spans="1:7">
      <c r="A1133">
        <v>1125</v>
      </c>
      <c r="B1133">
        <v>78852</v>
      </c>
      <c r="C1133" t="s">
        <v>1206</v>
      </c>
      <c r="D1133">
        <v>0</v>
      </c>
      <c r="E1133" s="387">
        <v>308958.90000000002</v>
      </c>
      <c r="F1133">
        <v>0</v>
      </c>
      <c r="G1133" s="387">
        <v>308958.90000000002</v>
      </c>
    </row>
    <row r="1134" spans="1:7">
      <c r="A1134">
        <v>1126</v>
      </c>
      <c r="B1134">
        <v>78855</v>
      </c>
      <c r="C1134" t="s">
        <v>1207</v>
      </c>
      <c r="D1134">
        <v>0</v>
      </c>
      <c r="E1134" s="387">
        <v>1152241.74</v>
      </c>
      <c r="F1134">
        <v>0</v>
      </c>
      <c r="G1134" s="387">
        <v>1152241.74</v>
      </c>
    </row>
    <row r="1135" spans="1:7">
      <c r="A1135">
        <v>1127</v>
      </c>
      <c r="B1135">
        <v>78856</v>
      </c>
      <c r="C1135" t="s">
        <v>1208</v>
      </c>
      <c r="D1135">
        <v>0</v>
      </c>
      <c r="E1135" s="387">
        <v>6180726.5599999996</v>
      </c>
      <c r="F1135">
        <v>0</v>
      </c>
      <c r="G1135" s="387">
        <v>6180726.5599999996</v>
      </c>
    </row>
    <row r="1136" spans="1:7">
      <c r="A1136">
        <v>1128</v>
      </c>
      <c r="B1136">
        <v>78861</v>
      </c>
      <c r="C1136" t="s">
        <v>1209</v>
      </c>
      <c r="D1136">
        <v>0</v>
      </c>
      <c r="E1136" s="387">
        <v>2315814</v>
      </c>
      <c r="F1136">
        <v>0</v>
      </c>
      <c r="G1136" s="387">
        <v>2315814</v>
      </c>
    </row>
    <row r="1137" spans="1:7">
      <c r="A1137">
        <v>1129</v>
      </c>
      <c r="B1137">
        <v>78881</v>
      </c>
      <c r="C1137" t="s">
        <v>1210</v>
      </c>
      <c r="D1137">
        <v>0</v>
      </c>
      <c r="E1137" s="387">
        <v>2704444.98</v>
      </c>
      <c r="F1137" s="387">
        <v>841964.29</v>
      </c>
      <c r="G1137" s="387">
        <v>1862480.69</v>
      </c>
    </row>
    <row r="1138" spans="1:7">
      <c r="A1138">
        <v>1130</v>
      </c>
      <c r="B1138">
        <v>78882</v>
      </c>
      <c r="C1138" t="s">
        <v>1211</v>
      </c>
      <c r="D1138">
        <v>0</v>
      </c>
      <c r="E1138" s="387">
        <v>1479273.96</v>
      </c>
      <c r="F1138" s="387">
        <v>460586.9</v>
      </c>
      <c r="G1138" s="387">
        <v>1018687.06</v>
      </c>
    </row>
    <row r="1139" spans="1:7">
      <c r="A1139">
        <v>1131</v>
      </c>
      <c r="B1139">
        <v>78883</v>
      </c>
      <c r="C1139" t="s">
        <v>1212</v>
      </c>
      <c r="D1139">
        <v>0</v>
      </c>
      <c r="E1139" s="387">
        <v>1906085.18</v>
      </c>
      <c r="F1139" s="387">
        <v>552778.64</v>
      </c>
      <c r="G1139" s="387">
        <v>1353306.54</v>
      </c>
    </row>
    <row r="1140" spans="1:7">
      <c r="A1140">
        <v>1132</v>
      </c>
      <c r="B1140">
        <v>78889</v>
      </c>
      <c r="C1140" t="s">
        <v>1213</v>
      </c>
      <c r="D1140">
        <v>0</v>
      </c>
      <c r="E1140" s="387">
        <v>8457364.5800000001</v>
      </c>
      <c r="F1140">
        <v>0</v>
      </c>
      <c r="G1140" s="387">
        <v>8457364.5800000001</v>
      </c>
    </row>
    <row r="1141" spans="1:7">
      <c r="A1141">
        <v>1133</v>
      </c>
      <c r="B1141">
        <v>789</v>
      </c>
      <c r="C1141" t="s">
        <v>1214</v>
      </c>
      <c r="D1141">
        <v>0</v>
      </c>
      <c r="E1141">
        <v>0</v>
      </c>
      <c r="F1141" s="387">
        <v>375549.26</v>
      </c>
      <c r="G1141" s="387">
        <v>-375549.26</v>
      </c>
    </row>
    <row r="1142" spans="1:7">
      <c r="A1142">
        <v>1134</v>
      </c>
      <c r="B1142">
        <v>78900</v>
      </c>
      <c r="C1142" t="s">
        <v>1215</v>
      </c>
      <c r="D1142">
        <v>0</v>
      </c>
      <c r="E1142">
        <v>0</v>
      </c>
      <c r="F1142" s="387">
        <v>375549.26</v>
      </c>
      <c r="G1142" s="387">
        <v>-375549.26</v>
      </c>
    </row>
    <row r="1143" spans="1:7">
      <c r="A1143">
        <v>1135</v>
      </c>
      <c r="B1143">
        <v>79</v>
      </c>
      <c r="C1143" t="s">
        <v>1216</v>
      </c>
      <c r="D1143">
        <v>0</v>
      </c>
      <c r="E1143" s="387">
        <v>363855300.88999999</v>
      </c>
      <c r="F1143" s="387">
        <v>8548506.9000000004</v>
      </c>
      <c r="G1143" s="387">
        <v>355306793.99000001</v>
      </c>
    </row>
    <row r="1144" spans="1:7">
      <c r="A1144">
        <v>1136</v>
      </c>
      <c r="B1144">
        <v>792</v>
      </c>
      <c r="C1144" t="s">
        <v>1217</v>
      </c>
      <c r="D1144">
        <v>0</v>
      </c>
      <c r="E1144" s="387">
        <v>1257253.7</v>
      </c>
      <c r="F1144" s="387">
        <v>554677.69999999995</v>
      </c>
      <c r="G1144" s="387">
        <v>702576</v>
      </c>
    </row>
    <row r="1145" spans="1:7">
      <c r="A1145">
        <v>1137</v>
      </c>
      <c r="B1145">
        <v>79212</v>
      </c>
      <c r="C1145" t="s">
        <v>1218</v>
      </c>
      <c r="D1145">
        <v>0</v>
      </c>
      <c r="E1145" s="387">
        <v>1257253.7</v>
      </c>
      <c r="F1145" s="387">
        <v>554677.69999999995</v>
      </c>
      <c r="G1145" s="387">
        <v>702576</v>
      </c>
    </row>
    <row r="1146" spans="1:7">
      <c r="A1146">
        <v>1138</v>
      </c>
      <c r="B1146">
        <v>794</v>
      </c>
      <c r="C1146" t="s">
        <v>1219</v>
      </c>
      <c r="D1146">
        <v>0</v>
      </c>
      <c r="E1146" s="387">
        <v>337847573.51999998</v>
      </c>
      <c r="F1146" s="387">
        <v>1047573.52</v>
      </c>
      <c r="G1146" s="387">
        <v>336800000</v>
      </c>
    </row>
    <row r="1147" spans="1:7">
      <c r="A1147">
        <v>1139</v>
      </c>
      <c r="B1147">
        <v>79410</v>
      </c>
      <c r="C1147" t="s">
        <v>1220</v>
      </c>
      <c r="D1147">
        <v>0</v>
      </c>
      <c r="E1147" s="387">
        <v>856900.59</v>
      </c>
      <c r="F1147" s="387">
        <v>856900.59</v>
      </c>
      <c r="G1147">
        <v>0</v>
      </c>
    </row>
    <row r="1148" spans="1:7">
      <c r="A1148">
        <v>1140</v>
      </c>
      <c r="B1148">
        <v>79411</v>
      </c>
      <c r="C1148" t="s">
        <v>1221</v>
      </c>
      <c r="D1148">
        <v>0</v>
      </c>
      <c r="E1148" s="387">
        <v>190672.93</v>
      </c>
      <c r="F1148" s="387">
        <v>190672.93</v>
      </c>
      <c r="G1148">
        <v>0</v>
      </c>
    </row>
    <row r="1149" spans="1:7">
      <c r="A1149">
        <v>1141</v>
      </c>
      <c r="B1149">
        <v>79460</v>
      </c>
      <c r="C1149" t="s">
        <v>1222</v>
      </c>
      <c r="D1149">
        <v>0</v>
      </c>
      <c r="E1149" s="387">
        <v>336800000</v>
      </c>
      <c r="F1149">
        <v>0</v>
      </c>
      <c r="G1149" s="387">
        <v>336800000</v>
      </c>
    </row>
    <row r="1150" spans="1:7">
      <c r="A1150">
        <v>1142</v>
      </c>
      <c r="B1150">
        <v>795</v>
      </c>
      <c r="C1150" t="s">
        <v>1223</v>
      </c>
      <c r="D1150">
        <v>0</v>
      </c>
      <c r="E1150" s="387">
        <v>24750473.670000002</v>
      </c>
      <c r="F1150" s="387">
        <v>6946255.6799999997</v>
      </c>
      <c r="G1150" s="387">
        <v>17804217.989999998</v>
      </c>
    </row>
    <row r="1151" spans="1:7">
      <c r="A1151">
        <v>1143</v>
      </c>
      <c r="B1151">
        <v>79520</v>
      </c>
      <c r="C1151" t="s">
        <v>1224</v>
      </c>
      <c r="D1151">
        <v>0</v>
      </c>
      <c r="E1151" s="387">
        <v>646546</v>
      </c>
      <c r="F1151" s="387">
        <v>646546</v>
      </c>
      <c r="G1151">
        <v>0</v>
      </c>
    </row>
    <row r="1152" spans="1:7">
      <c r="A1152">
        <v>1144</v>
      </c>
      <c r="B1152">
        <v>79521</v>
      </c>
      <c r="C1152" t="s">
        <v>1225</v>
      </c>
      <c r="D1152">
        <v>0</v>
      </c>
      <c r="E1152" s="387">
        <v>2554771.2799999998</v>
      </c>
      <c r="F1152" s="387">
        <v>964526.29</v>
      </c>
      <c r="G1152" s="387">
        <v>1590244.99</v>
      </c>
    </row>
    <row r="1153" spans="1:7">
      <c r="A1153">
        <v>1145</v>
      </c>
      <c r="B1153">
        <v>79523</v>
      </c>
      <c r="C1153" t="s">
        <v>1226</v>
      </c>
      <c r="D1153">
        <v>0</v>
      </c>
      <c r="E1153" s="387">
        <v>211224.39</v>
      </c>
      <c r="F1153" s="387">
        <v>211224.39</v>
      </c>
      <c r="G1153">
        <v>0</v>
      </c>
    </row>
    <row r="1154" spans="1:7">
      <c r="A1154">
        <v>1146</v>
      </c>
      <c r="B1154">
        <v>79530</v>
      </c>
      <c r="C1154" t="s">
        <v>1227</v>
      </c>
      <c r="D1154">
        <v>0</v>
      </c>
      <c r="E1154" s="387">
        <v>876205</v>
      </c>
      <c r="F1154" s="387">
        <v>39133</v>
      </c>
      <c r="G1154" s="387">
        <v>837072</v>
      </c>
    </row>
    <row r="1155" spans="1:7">
      <c r="A1155">
        <v>1147</v>
      </c>
      <c r="B1155">
        <v>79531</v>
      </c>
      <c r="C1155" t="s">
        <v>1228</v>
      </c>
      <c r="D1155">
        <v>0</v>
      </c>
      <c r="E1155" s="387">
        <v>20461727</v>
      </c>
      <c r="F1155" s="387">
        <v>5084826</v>
      </c>
      <c r="G1155" s="387">
        <v>15376901</v>
      </c>
    </row>
    <row r="1156" spans="1:7">
      <c r="A1156">
        <v>1148</v>
      </c>
      <c r="B1156">
        <v>81</v>
      </c>
      <c r="C1156" t="s">
        <v>1229</v>
      </c>
      <c r="D1156">
        <v>0</v>
      </c>
      <c r="E1156" s="387">
        <v>224010969</v>
      </c>
      <c r="F1156">
        <v>0</v>
      </c>
      <c r="G1156" s="387">
        <v>224010969</v>
      </c>
    </row>
    <row r="1157" spans="1:7">
      <c r="A1157">
        <v>1149</v>
      </c>
      <c r="B1157">
        <v>811</v>
      </c>
      <c r="C1157" t="s">
        <v>1230</v>
      </c>
      <c r="D1157">
        <v>0</v>
      </c>
      <c r="E1157" s="387">
        <v>224010969</v>
      </c>
      <c r="F1157">
        <v>0</v>
      </c>
      <c r="G1157" s="387">
        <v>224010969</v>
      </c>
    </row>
    <row r="1158" spans="1:7">
      <c r="A1158">
        <v>1150</v>
      </c>
      <c r="B1158">
        <v>81110</v>
      </c>
      <c r="C1158" t="s">
        <v>1231</v>
      </c>
      <c r="D1158">
        <v>0</v>
      </c>
      <c r="E1158" s="387">
        <v>224010969</v>
      </c>
      <c r="F1158">
        <v>0</v>
      </c>
      <c r="G1158" s="387">
        <v>224010969</v>
      </c>
    </row>
    <row r="1159" spans="1:7">
      <c r="A1159">
        <v>1151</v>
      </c>
      <c r="B1159">
        <v>83</v>
      </c>
      <c r="C1159" t="s">
        <v>1232</v>
      </c>
      <c r="D1159">
        <v>0</v>
      </c>
      <c r="E1159" s="387">
        <v>1451611</v>
      </c>
      <c r="F1159" s="387">
        <v>1451611</v>
      </c>
      <c r="G1159">
        <v>0</v>
      </c>
    </row>
    <row r="1160" spans="1:7">
      <c r="A1160">
        <v>1152</v>
      </c>
      <c r="B1160">
        <v>835</v>
      </c>
      <c r="C1160" t="s">
        <v>1233</v>
      </c>
      <c r="D1160">
        <v>0</v>
      </c>
      <c r="E1160" s="387">
        <v>1451611</v>
      </c>
      <c r="F1160" s="387">
        <v>1451611</v>
      </c>
      <c r="G1160">
        <v>0</v>
      </c>
    </row>
    <row r="1161" spans="1:7">
      <c r="A1161">
        <v>1153</v>
      </c>
      <c r="B1161">
        <v>83500</v>
      </c>
      <c r="C1161" t="s">
        <v>1233</v>
      </c>
      <c r="D1161">
        <v>0</v>
      </c>
      <c r="E1161" s="387">
        <v>1451611</v>
      </c>
      <c r="F1161" s="387">
        <v>1451611</v>
      </c>
      <c r="G1161">
        <v>0</v>
      </c>
    </row>
    <row r="1162" spans="1:7">
      <c r="A1162">
        <v>1154</v>
      </c>
      <c r="B1162">
        <v>92</v>
      </c>
      <c r="C1162" t="s">
        <v>1234</v>
      </c>
      <c r="D1162">
        <v>0</v>
      </c>
      <c r="E1162" s="387">
        <v>81824532632.199997</v>
      </c>
      <c r="F1162" s="387">
        <v>81824532632.199997</v>
      </c>
      <c r="G1162">
        <v>0</v>
      </c>
    </row>
    <row r="1163" spans="1:7">
      <c r="A1163">
        <v>1155</v>
      </c>
      <c r="B1163">
        <v>921</v>
      </c>
      <c r="C1163" t="s">
        <v>1235</v>
      </c>
      <c r="D1163" s="387">
        <v>-1561790632.2</v>
      </c>
      <c r="E1163" s="387">
        <v>42046071844.699997</v>
      </c>
      <c r="F1163" s="387">
        <v>39772947038.5</v>
      </c>
      <c r="G1163" s="387">
        <v>711334174</v>
      </c>
    </row>
    <row r="1164" spans="1:7">
      <c r="A1164">
        <v>1156</v>
      </c>
      <c r="B1164">
        <v>92100</v>
      </c>
      <c r="C1164" t="s">
        <v>1235</v>
      </c>
      <c r="D1164" s="387">
        <v>-1561790632.2</v>
      </c>
      <c r="E1164" s="387">
        <v>42046071844.699997</v>
      </c>
      <c r="F1164" s="387">
        <v>39772947038.5</v>
      </c>
      <c r="G1164" s="387">
        <v>711334174</v>
      </c>
    </row>
    <row r="1165" spans="1:7">
      <c r="A1165">
        <v>1157</v>
      </c>
      <c r="B1165">
        <v>924</v>
      </c>
      <c r="C1165" t="s">
        <v>1236</v>
      </c>
      <c r="D1165">
        <v>0</v>
      </c>
      <c r="E1165" s="387">
        <v>17247115909</v>
      </c>
      <c r="F1165" s="387">
        <v>36760507611</v>
      </c>
      <c r="G1165" s="387">
        <v>-19513391702</v>
      </c>
    </row>
    <row r="1166" spans="1:7">
      <c r="A1166">
        <v>1158</v>
      </c>
      <c r="B1166">
        <v>92445</v>
      </c>
      <c r="C1166" t="s">
        <v>1237</v>
      </c>
      <c r="D1166">
        <v>0</v>
      </c>
      <c r="E1166" s="387">
        <v>8349508</v>
      </c>
      <c r="F1166" s="387">
        <v>68645385</v>
      </c>
      <c r="G1166" s="387">
        <v>-60295877</v>
      </c>
    </row>
    <row r="1167" spans="1:7">
      <c r="A1167">
        <v>1159</v>
      </c>
      <c r="B1167">
        <v>92446</v>
      </c>
      <c r="C1167" t="s">
        <v>1238</v>
      </c>
      <c r="D1167">
        <v>0</v>
      </c>
      <c r="E1167" s="387">
        <v>2698314</v>
      </c>
      <c r="F1167" s="387">
        <v>13485708</v>
      </c>
      <c r="G1167" s="387">
        <v>-10787394</v>
      </c>
    </row>
    <row r="1168" spans="1:7">
      <c r="A1168">
        <v>1160</v>
      </c>
      <c r="B1168">
        <v>92479</v>
      </c>
      <c r="C1168" t="s">
        <v>1239</v>
      </c>
      <c r="D1168">
        <v>0</v>
      </c>
      <c r="E1168" s="387">
        <v>5410060</v>
      </c>
      <c r="F1168" s="387">
        <v>38025928</v>
      </c>
      <c r="G1168" s="387">
        <v>-32615868</v>
      </c>
    </row>
    <row r="1169" spans="1:7">
      <c r="A1169">
        <v>1161</v>
      </c>
      <c r="B1169">
        <v>92481</v>
      </c>
      <c r="C1169" t="s">
        <v>1240</v>
      </c>
      <c r="D1169">
        <v>0</v>
      </c>
      <c r="E1169" s="387">
        <v>17238</v>
      </c>
      <c r="F1169" s="387">
        <v>2133833</v>
      </c>
      <c r="G1169" s="387">
        <v>-2116595</v>
      </c>
    </row>
    <row r="1170" spans="1:7">
      <c r="A1170">
        <v>1162</v>
      </c>
      <c r="B1170">
        <v>92490</v>
      </c>
      <c r="C1170" t="s">
        <v>1241</v>
      </c>
      <c r="D1170">
        <v>0</v>
      </c>
      <c r="E1170" s="387">
        <v>17230640789</v>
      </c>
      <c r="F1170" s="387">
        <v>36638216757</v>
      </c>
      <c r="G1170" s="387">
        <v>-19407575968</v>
      </c>
    </row>
    <row r="1171" spans="1:7">
      <c r="A1171">
        <v>1163</v>
      </c>
      <c r="B1171">
        <v>925</v>
      </c>
      <c r="C1171" t="s">
        <v>1242</v>
      </c>
      <c r="D1171" s="387">
        <v>-88416730</v>
      </c>
      <c r="E1171" s="387">
        <v>20206182865</v>
      </c>
      <c r="F1171" s="387">
        <v>3489249564</v>
      </c>
      <c r="G1171" s="387">
        <v>16628516571</v>
      </c>
    </row>
    <row r="1172" spans="1:7">
      <c r="A1172">
        <v>1164</v>
      </c>
      <c r="B1172">
        <v>92501</v>
      </c>
      <c r="C1172" t="s">
        <v>1243</v>
      </c>
      <c r="D1172">
        <v>0</v>
      </c>
      <c r="E1172" s="387">
        <v>3232217729</v>
      </c>
      <c r="F1172" s="387">
        <v>20017</v>
      </c>
      <c r="G1172" s="387">
        <v>3232197712</v>
      </c>
    </row>
    <row r="1173" spans="1:7">
      <c r="A1173">
        <v>1165</v>
      </c>
      <c r="B1173">
        <v>92502</v>
      </c>
      <c r="C1173" t="s">
        <v>1244</v>
      </c>
      <c r="D1173">
        <v>0</v>
      </c>
      <c r="E1173" s="387">
        <v>93088309</v>
      </c>
      <c r="F1173" s="387">
        <v>150238</v>
      </c>
      <c r="G1173" s="387">
        <v>92938071</v>
      </c>
    </row>
    <row r="1174" spans="1:7">
      <c r="A1174">
        <v>1166</v>
      </c>
      <c r="B1174">
        <v>92503</v>
      </c>
      <c r="C1174" t="s">
        <v>1245</v>
      </c>
      <c r="D1174">
        <v>0</v>
      </c>
      <c r="E1174" s="387">
        <v>4469868963</v>
      </c>
      <c r="F1174" s="387">
        <v>153502</v>
      </c>
      <c r="G1174" s="387">
        <v>4469715461</v>
      </c>
    </row>
    <row r="1175" spans="1:7">
      <c r="A1175">
        <v>1167</v>
      </c>
      <c r="B1175">
        <v>92504</v>
      </c>
      <c r="C1175" t="s">
        <v>1246</v>
      </c>
      <c r="D1175" s="387">
        <v>-88416730</v>
      </c>
      <c r="E1175" s="387">
        <v>11644777354</v>
      </c>
      <c r="F1175" s="387">
        <v>3483735815</v>
      </c>
      <c r="G1175" s="387">
        <v>8072624809</v>
      </c>
    </row>
    <row r="1176" spans="1:7">
      <c r="A1176">
        <v>1168</v>
      </c>
      <c r="B1176">
        <v>92505</v>
      </c>
      <c r="C1176" t="s">
        <v>1247</v>
      </c>
      <c r="D1176">
        <v>0</v>
      </c>
      <c r="E1176" s="387">
        <v>4195033</v>
      </c>
      <c r="F1176" s="387">
        <v>4195033</v>
      </c>
      <c r="G1176">
        <v>0</v>
      </c>
    </row>
    <row r="1177" spans="1:7">
      <c r="A1177">
        <v>1169</v>
      </c>
      <c r="B1177">
        <v>92506</v>
      </c>
      <c r="C1177" t="s">
        <v>1248</v>
      </c>
      <c r="D1177">
        <v>0</v>
      </c>
      <c r="E1177" s="387">
        <v>7229900</v>
      </c>
      <c r="F1177">
        <v>0</v>
      </c>
      <c r="G1177" s="387">
        <v>7229900</v>
      </c>
    </row>
    <row r="1178" spans="1:7">
      <c r="A1178">
        <v>1170</v>
      </c>
      <c r="B1178">
        <v>92507</v>
      </c>
      <c r="C1178" t="s">
        <v>1249</v>
      </c>
      <c r="D1178">
        <v>0</v>
      </c>
      <c r="E1178" s="387">
        <v>497297607</v>
      </c>
      <c r="F1178" s="387">
        <v>27431</v>
      </c>
      <c r="G1178" s="387">
        <v>497270176</v>
      </c>
    </row>
    <row r="1179" spans="1:7">
      <c r="A1179">
        <v>1171</v>
      </c>
      <c r="B1179">
        <v>92508</v>
      </c>
      <c r="C1179" t="s">
        <v>1250</v>
      </c>
      <c r="D1179">
        <v>0</v>
      </c>
      <c r="E1179" s="387">
        <v>245308706</v>
      </c>
      <c r="F1179" s="387">
        <v>300950</v>
      </c>
      <c r="G1179" s="387">
        <v>245007756</v>
      </c>
    </row>
    <row r="1180" spans="1:7">
      <c r="A1180">
        <v>1172</v>
      </c>
      <c r="B1180">
        <v>92516</v>
      </c>
      <c r="C1180" t="s">
        <v>1251</v>
      </c>
      <c r="D1180">
        <v>0</v>
      </c>
      <c r="E1180" s="387">
        <v>5782657</v>
      </c>
      <c r="F1180" s="387">
        <v>666578</v>
      </c>
      <c r="G1180" s="387">
        <v>5116079</v>
      </c>
    </row>
    <row r="1181" spans="1:7">
      <c r="A1181">
        <v>1173</v>
      </c>
      <c r="B1181">
        <v>92561</v>
      </c>
      <c r="C1181" t="s">
        <v>1252</v>
      </c>
      <c r="D1181">
        <v>0</v>
      </c>
      <c r="E1181" s="387">
        <v>6416607</v>
      </c>
      <c r="F1181">
        <v>0</v>
      </c>
      <c r="G1181" s="387">
        <v>6416607</v>
      </c>
    </row>
    <row r="1182" spans="1:7">
      <c r="A1182">
        <v>1174</v>
      </c>
      <c r="B1182">
        <v>926</v>
      </c>
      <c r="C1182" t="s">
        <v>1253</v>
      </c>
      <c r="D1182" s="387">
        <v>1650207362.2</v>
      </c>
      <c r="E1182" s="387">
        <v>2325162013.5</v>
      </c>
      <c r="F1182" s="387">
        <v>1801828418.7</v>
      </c>
      <c r="G1182" s="387">
        <v>2173540957</v>
      </c>
    </row>
    <row r="1183" spans="1:7">
      <c r="A1183">
        <v>1175</v>
      </c>
      <c r="B1183">
        <v>92601</v>
      </c>
      <c r="C1183" t="s">
        <v>1254</v>
      </c>
      <c r="D1183" s="387">
        <v>359724739.5</v>
      </c>
      <c r="E1183" s="387">
        <v>395485344.5</v>
      </c>
      <c r="F1183" s="387">
        <v>359724740</v>
      </c>
      <c r="G1183" s="387">
        <v>395485344</v>
      </c>
    </row>
    <row r="1184" spans="1:7">
      <c r="A1184">
        <v>1176</v>
      </c>
      <c r="B1184">
        <v>92602</v>
      </c>
      <c r="C1184" t="s">
        <v>1255</v>
      </c>
      <c r="D1184" s="387">
        <v>6088592.5</v>
      </c>
      <c r="E1184" s="387">
        <v>10012934.5</v>
      </c>
      <c r="F1184" s="387">
        <v>6088591.5</v>
      </c>
      <c r="G1184" s="387">
        <v>10012935.5</v>
      </c>
    </row>
    <row r="1185" spans="1:7">
      <c r="A1185">
        <v>1177</v>
      </c>
      <c r="B1185">
        <v>92603</v>
      </c>
      <c r="C1185" t="s">
        <v>1256</v>
      </c>
      <c r="D1185" s="387">
        <v>530870425</v>
      </c>
      <c r="E1185" s="387">
        <v>590023125</v>
      </c>
      <c r="F1185" s="387">
        <v>530870426</v>
      </c>
      <c r="G1185" s="387">
        <v>590023124</v>
      </c>
    </row>
    <row r="1186" spans="1:7">
      <c r="A1186">
        <v>1178</v>
      </c>
      <c r="B1186">
        <v>92604</v>
      </c>
      <c r="C1186" t="s">
        <v>1257</v>
      </c>
      <c r="D1186" s="387">
        <v>631884223.20000005</v>
      </c>
      <c r="E1186" s="387">
        <v>1204116806</v>
      </c>
      <c r="F1186" s="387">
        <v>782927030.20000005</v>
      </c>
      <c r="G1186" s="387">
        <v>1053073999</v>
      </c>
    </row>
    <row r="1187" spans="1:7">
      <c r="A1187">
        <v>1179</v>
      </c>
      <c r="B1187">
        <v>92605</v>
      </c>
      <c r="C1187" t="s">
        <v>1258</v>
      </c>
      <c r="D1187" s="387">
        <v>5642772</v>
      </c>
      <c r="E1187">
        <v>0</v>
      </c>
      <c r="F1187" s="387">
        <v>5642772</v>
      </c>
      <c r="G1187">
        <v>0</v>
      </c>
    </row>
    <row r="1188" spans="1:7">
      <c r="A1188">
        <v>1180</v>
      </c>
      <c r="B1188">
        <v>92606</v>
      </c>
      <c r="C1188" t="s">
        <v>1259</v>
      </c>
      <c r="D1188">
        <v>0</v>
      </c>
      <c r="E1188" s="387">
        <v>578250</v>
      </c>
      <c r="F1188" s="387">
        <v>578250</v>
      </c>
      <c r="G1188">
        <v>0</v>
      </c>
    </row>
    <row r="1189" spans="1:7">
      <c r="A1189">
        <v>1181</v>
      </c>
      <c r="B1189">
        <v>92607</v>
      </c>
      <c r="C1189" t="s">
        <v>1260</v>
      </c>
      <c r="D1189" s="387">
        <v>87237053</v>
      </c>
      <c r="E1189" s="387">
        <v>98233739</v>
      </c>
      <c r="F1189" s="387">
        <v>87237053</v>
      </c>
      <c r="G1189" s="387">
        <v>98233739</v>
      </c>
    </row>
    <row r="1190" spans="1:7">
      <c r="A1190">
        <v>1182</v>
      </c>
      <c r="B1190">
        <v>92608</v>
      </c>
      <c r="C1190" t="s">
        <v>1261</v>
      </c>
      <c r="D1190" s="387">
        <v>28216446</v>
      </c>
      <c r="E1190" s="387">
        <v>25833173</v>
      </c>
      <c r="F1190" s="387">
        <v>28216445</v>
      </c>
      <c r="G1190" s="387">
        <v>25833174</v>
      </c>
    </row>
    <row r="1191" spans="1:7">
      <c r="A1191">
        <v>1183</v>
      </c>
      <c r="B1191">
        <v>92619</v>
      </c>
      <c r="C1191" t="s">
        <v>1262</v>
      </c>
      <c r="D1191" s="387">
        <v>543111</v>
      </c>
      <c r="E1191" s="387">
        <v>878641.5</v>
      </c>
      <c r="F1191" s="387">
        <v>543111</v>
      </c>
      <c r="G1191" s="387">
        <v>878641.5</v>
      </c>
    </row>
    <row r="1192" spans="1:7">
      <c r="A1192">
        <v>1184</v>
      </c>
      <c r="E1192" s="387">
        <v>2492183924871.0698</v>
      </c>
      <c r="F1192" s="387">
        <v>2492183924871.0698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1"/>
  <sheetViews>
    <sheetView view="pageBreakPreview" topLeftCell="A10" zoomScale="90" zoomScaleNormal="100" zoomScaleSheetLayoutView="90" workbookViewId="0">
      <selection activeCell="G39" sqref="G39"/>
    </sheetView>
  </sheetViews>
  <sheetFormatPr defaultColWidth="0.140625" defaultRowHeight="15"/>
  <cols>
    <col min="1" max="1" width="4.7109375" style="82" customWidth="1"/>
    <col min="2" max="2" width="4.7109375" style="83" customWidth="1"/>
    <col min="3" max="3" width="35.5703125" style="84" customWidth="1"/>
    <col min="4" max="4" width="10.7109375" style="85" hidden="1" customWidth="1"/>
    <col min="5" max="6" width="17" style="85" customWidth="1"/>
    <col min="7" max="7" width="13.85546875" style="83" customWidth="1"/>
    <col min="8" max="8" width="16.140625" style="400" customWidth="1"/>
    <col min="9" max="9" width="14.42578125" style="83" customWidth="1"/>
    <col min="10" max="10" width="17.28515625" style="83" bestFit="1" customWidth="1"/>
    <col min="11" max="11" width="13.85546875" style="83" customWidth="1"/>
    <col min="12" max="235" width="9.140625" style="83" customWidth="1"/>
    <col min="236" max="237" width="4.7109375" style="83" customWidth="1"/>
    <col min="238" max="238" width="46.5703125" style="83" bestFit="1" customWidth="1"/>
    <col min="239" max="239" width="9.140625" style="83" customWidth="1"/>
    <col min="240" max="16384" width="0.140625" style="83"/>
  </cols>
  <sheetData>
    <row r="1" spans="1:10" s="44" customFormat="1">
      <c r="A1" s="512" t="s">
        <v>98</v>
      </c>
      <c r="B1" s="512"/>
      <c r="C1" s="512"/>
      <c r="D1" s="512"/>
      <c r="E1" s="512"/>
      <c r="F1" s="512"/>
      <c r="G1" s="512"/>
      <c r="H1" s="512"/>
      <c r="I1" s="513" t="s">
        <v>28</v>
      </c>
      <c r="J1" s="513"/>
    </row>
    <row r="2" spans="1:10" ht="18.75" customHeight="1" thickBot="1">
      <c r="I2" s="516" t="s">
        <v>137</v>
      </c>
      <c r="J2" s="516"/>
    </row>
    <row r="3" spans="1:10" ht="26.25" customHeight="1" thickBot="1">
      <c r="A3" s="86"/>
      <c r="B3" s="163"/>
      <c r="C3" s="168"/>
      <c r="D3" s="87"/>
      <c r="E3" s="481" t="str">
        <f>'REVENUE DATA '!E75:F75</f>
        <v>Current Year 20-21</v>
      </c>
      <c r="F3" s="482"/>
      <c r="G3" s="481" t="str">
        <f>'REVENUE DATA '!G75:H75</f>
        <v>Previous  Year 19-20</v>
      </c>
      <c r="H3" s="482"/>
      <c r="I3" s="514" t="s">
        <v>135</v>
      </c>
      <c r="J3" s="515"/>
    </row>
    <row r="4" spans="1:10" ht="0.75" customHeight="1" thickBot="1">
      <c r="A4" s="8"/>
      <c r="B4" s="164"/>
      <c r="C4" s="169"/>
      <c r="D4" s="89"/>
      <c r="E4" s="89"/>
      <c r="F4" s="89"/>
      <c r="G4" s="9"/>
      <c r="H4" s="401"/>
      <c r="I4" s="10"/>
      <c r="J4" s="90"/>
    </row>
    <row r="5" spans="1:10" ht="64.5" customHeight="1" thickBot="1">
      <c r="A5" s="86"/>
      <c r="B5" s="163"/>
      <c r="C5" s="170"/>
      <c r="D5" s="91" t="s">
        <v>99</v>
      </c>
      <c r="E5" s="14" t="str">
        <f>Glance!E7</f>
        <v>4th Quarter Jan'21 to Mar'21</v>
      </c>
      <c r="F5" s="14" t="str">
        <f>Glance!F7</f>
        <v xml:space="preserve">Cumulative Up to 4th quarter </v>
      </c>
      <c r="G5" s="14" t="str">
        <f>Glance!G7</f>
        <v>4th Quarter  Jan'20 to March'21</v>
      </c>
      <c r="H5" s="402" t="str">
        <f>Glance!H7</f>
        <v>Cumulative Up to 4th quarter</v>
      </c>
      <c r="I5" s="14" t="str">
        <f>Glance!I7</f>
        <v>4th Quarter</v>
      </c>
      <c r="J5" s="16" t="str">
        <f>Glance!J7</f>
        <v>Cumulative up to 4th Qtr</v>
      </c>
    </row>
    <row r="6" spans="1:10">
      <c r="A6" s="75" t="s">
        <v>100</v>
      </c>
      <c r="B6" s="165"/>
      <c r="C6" s="171" t="s">
        <v>101</v>
      </c>
      <c r="D6" s="92"/>
      <c r="E6" s="93"/>
      <c r="F6" s="94"/>
      <c r="G6" s="95"/>
      <c r="H6" s="403"/>
      <c r="I6" s="95"/>
      <c r="J6" s="96"/>
    </row>
    <row r="7" spans="1:10">
      <c r="A7" s="58"/>
      <c r="B7" s="166">
        <v>1</v>
      </c>
      <c r="C7" s="172" t="s">
        <v>1271</v>
      </c>
      <c r="D7" s="98">
        <v>61</v>
      </c>
      <c r="E7" s="159">
        <f>Glance!E79</f>
        <v>3433.869999999999</v>
      </c>
      <c r="F7" s="159">
        <f>Glance!F79</f>
        <v>11697.15</v>
      </c>
      <c r="G7" s="159">
        <f>Glance!G79</f>
        <v>3015.63</v>
      </c>
      <c r="H7" s="159">
        <f>Glance!H79</f>
        <v>13653.655853664175</v>
      </c>
      <c r="I7" s="37">
        <f t="shared" ref="I7:J10" si="0">E7/G7-1</f>
        <v>0.13869075450237567</v>
      </c>
      <c r="J7" s="41">
        <f t="shared" si="0"/>
        <v>-0.14329538364181893</v>
      </c>
    </row>
    <row r="8" spans="1:10">
      <c r="A8" s="58"/>
      <c r="B8" s="166">
        <v>2</v>
      </c>
      <c r="C8" s="172" t="s">
        <v>1270</v>
      </c>
      <c r="D8" s="99">
        <v>63.110999999999997</v>
      </c>
      <c r="E8" s="159">
        <f>+Glance!E80+Glance!E81</f>
        <v>36.730000000000018</v>
      </c>
      <c r="F8" s="159">
        <f>+Glance!F80+Glance!F81</f>
        <v>217.37</v>
      </c>
      <c r="G8" s="159">
        <f>+Glance!G80+Glance!G81</f>
        <v>34.619999999999997</v>
      </c>
      <c r="H8" s="159">
        <f>+Glance!H80+Glance!H81</f>
        <v>198.54</v>
      </c>
      <c r="I8" s="37">
        <f t="shared" si="0"/>
        <v>6.0947429231658523E-2</v>
      </c>
      <c r="J8" s="41">
        <f t="shared" si="0"/>
        <v>9.4842349148786198E-2</v>
      </c>
    </row>
    <row r="9" spans="1:10">
      <c r="A9" s="58"/>
      <c r="B9" s="166">
        <v>3</v>
      </c>
      <c r="C9" s="172" t="s">
        <v>102</v>
      </c>
      <c r="D9" s="99" t="s">
        <v>103</v>
      </c>
      <c r="E9" s="177">
        <f>Glance!E77</f>
        <v>413.70999999999992</v>
      </c>
      <c r="F9" s="177">
        <f>Glance!F77</f>
        <v>486.07999999999993</v>
      </c>
      <c r="G9" s="177">
        <f>Glance!G77</f>
        <v>222.14</v>
      </c>
      <c r="H9" s="177">
        <f>Glance!H77</f>
        <v>380.26</v>
      </c>
      <c r="I9" s="37">
        <f t="shared" si="0"/>
        <v>0.86238408211038053</v>
      </c>
      <c r="J9" s="41">
        <f t="shared" si="0"/>
        <v>0.27828327986114743</v>
      </c>
    </row>
    <row r="10" spans="1:10" ht="15.75" thickBot="1">
      <c r="A10" s="100"/>
      <c r="B10" s="167">
        <v>4</v>
      </c>
      <c r="C10" s="173" t="s">
        <v>104</v>
      </c>
      <c r="D10" s="103"/>
      <c r="E10" s="104">
        <f>SUM(E7:E9)</f>
        <v>3884.309999999999</v>
      </c>
      <c r="F10" s="105">
        <f>SUM(F7:F9)</f>
        <v>12400.6</v>
      </c>
      <c r="G10" s="161">
        <f>SUM(G7:G9)</f>
        <v>3272.39</v>
      </c>
      <c r="H10" s="404">
        <f>SUM(H7:H9)</f>
        <v>14232.455853664176</v>
      </c>
      <c r="I10" s="81">
        <f t="shared" si="0"/>
        <v>0.18699482641127707</v>
      </c>
      <c r="J10" s="138">
        <f t="shared" si="0"/>
        <v>-0.12870975132465001</v>
      </c>
    </row>
    <row r="11" spans="1:10" ht="15.75" thickBot="1">
      <c r="A11" s="8"/>
      <c r="B11" s="88"/>
      <c r="C11" s="88"/>
      <c r="D11" s="106"/>
      <c r="E11" s="107"/>
      <c r="F11" s="108"/>
      <c r="G11" s="109"/>
      <c r="H11" s="405"/>
      <c r="I11" s="109"/>
      <c r="J11" s="110"/>
    </row>
    <row r="12" spans="1:10">
      <c r="A12" s="75" t="s">
        <v>105</v>
      </c>
      <c r="B12" s="111"/>
      <c r="C12" s="112" t="s">
        <v>106</v>
      </c>
      <c r="D12" s="113"/>
      <c r="E12" s="114"/>
      <c r="F12" s="115"/>
      <c r="G12" s="95"/>
      <c r="H12" s="406"/>
      <c r="I12" s="95"/>
      <c r="J12" s="96"/>
    </row>
    <row r="13" spans="1:10">
      <c r="A13" s="58"/>
      <c r="B13" s="97"/>
      <c r="C13" s="60" t="s">
        <v>107</v>
      </c>
      <c r="D13" s="116"/>
      <c r="E13" s="117"/>
      <c r="F13" s="118"/>
      <c r="G13" s="35"/>
      <c r="H13" s="34"/>
      <c r="I13" s="35"/>
      <c r="J13" s="43"/>
    </row>
    <row r="14" spans="1:10">
      <c r="A14" s="58"/>
      <c r="B14" s="97">
        <v>1</v>
      </c>
      <c r="C14" s="97" t="s">
        <v>108</v>
      </c>
      <c r="D14" s="99">
        <v>70</v>
      </c>
      <c r="E14" s="46">
        <f>Glance!E66</f>
        <v>3345.369999999999</v>
      </c>
      <c r="F14" s="159">
        <f>+Glance!F66</f>
        <v>11198.3</v>
      </c>
      <c r="G14" s="46">
        <f>Glance!G66</f>
        <v>2977.9699999999993</v>
      </c>
      <c r="H14" s="159">
        <f>+Glance!H66</f>
        <v>13054.96</v>
      </c>
      <c r="I14" s="37">
        <f>E14/G14-1</f>
        <v>0.12337263303525536</v>
      </c>
      <c r="J14" s="41">
        <f>F14/H14-1</f>
        <v>-0.14221874291457037</v>
      </c>
    </row>
    <row r="15" spans="1:10">
      <c r="A15" s="58"/>
      <c r="B15" s="97">
        <v>2</v>
      </c>
      <c r="C15" s="97" t="s">
        <v>109</v>
      </c>
      <c r="D15" s="99"/>
      <c r="E15" s="34"/>
      <c r="F15" s="178"/>
      <c r="G15" s="46"/>
      <c r="H15" s="46"/>
      <c r="I15" s="37"/>
      <c r="J15" s="41"/>
    </row>
    <row r="16" spans="1:10">
      <c r="A16" s="58"/>
      <c r="B16" s="97">
        <v>3</v>
      </c>
      <c r="C16" s="97" t="s">
        <v>110</v>
      </c>
      <c r="D16" s="99"/>
      <c r="E16" s="48">
        <f>E14-E15</f>
        <v>3345.369999999999</v>
      </c>
      <c r="F16" s="119">
        <f>F14-F15</f>
        <v>11198.3</v>
      </c>
      <c r="G16" s="48">
        <f>G14-G15</f>
        <v>2977.9699999999993</v>
      </c>
      <c r="H16" s="48">
        <f>H14-H15</f>
        <v>13054.96</v>
      </c>
      <c r="I16" s="37">
        <f>E16/G16-1</f>
        <v>0.12337263303525536</v>
      </c>
      <c r="J16" s="41">
        <f>F16/H16-1</f>
        <v>-0.14221874291457037</v>
      </c>
    </row>
    <row r="17" spans="1:10">
      <c r="A17" s="58"/>
      <c r="B17" s="120">
        <v>4</v>
      </c>
      <c r="C17" s="97" t="s">
        <v>111</v>
      </c>
      <c r="D17" s="99"/>
      <c r="E17" s="34"/>
      <c r="F17" s="178"/>
      <c r="G17" s="40"/>
      <c r="H17" s="46" t="s">
        <v>112</v>
      </c>
      <c r="I17" s="35" t="s">
        <v>112</v>
      </c>
      <c r="J17" s="43" t="s">
        <v>112</v>
      </c>
    </row>
    <row r="18" spans="1:10">
      <c r="A18" s="58"/>
      <c r="B18" s="120">
        <v>5</v>
      </c>
      <c r="C18" s="97" t="s">
        <v>113</v>
      </c>
      <c r="D18" s="99">
        <v>75</v>
      </c>
      <c r="E18" s="46">
        <f>Glance!E67</f>
        <v>181.89999999999998</v>
      </c>
      <c r="F18" s="159">
        <f>Glance!F67</f>
        <v>498.62</v>
      </c>
      <c r="G18" s="46">
        <f>Glance!G67</f>
        <v>115.98</v>
      </c>
      <c r="H18" s="159">
        <f>Glance!H67</f>
        <v>492.79</v>
      </c>
      <c r="I18" s="37">
        <f t="shared" ref="I18:J20" si="1">E18/G18-1</f>
        <v>0.56837385756164838</v>
      </c>
      <c r="J18" s="41">
        <f t="shared" si="1"/>
        <v>1.1830597211794025E-2</v>
      </c>
    </row>
    <row r="19" spans="1:10">
      <c r="A19" s="58"/>
      <c r="B19" s="120">
        <v>6</v>
      </c>
      <c r="C19" s="97" t="s">
        <v>114</v>
      </c>
      <c r="D19" s="99">
        <v>74</v>
      </c>
      <c r="E19" s="46">
        <f>Glance!E69</f>
        <v>14.470000000000006</v>
      </c>
      <c r="F19" s="159">
        <f>Glance!F69</f>
        <v>64.12</v>
      </c>
      <c r="G19" s="46">
        <f>Glance!G69</f>
        <v>21.130769999999998</v>
      </c>
      <c r="H19" s="159">
        <f>Glance!H69</f>
        <v>66.83</v>
      </c>
      <c r="I19" s="37">
        <f t="shared" si="1"/>
        <v>-0.3152166248556012</v>
      </c>
      <c r="J19" s="41">
        <f t="shared" si="1"/>
        <v>-4.0550650905281982E-2</v>
      </c>
    </row>
    <row r="20" spans="1:10">
      <c r="A20" s="58"/>
      <c r="B20" s="120">
        <v>7</v>
      </c>
      <c r="C20" s="120" t="s">
        <v>115</v>
      </c>
      <c r="D20" s="121">
        <v>76</v>
      </c>
      <c r="E20" s="46">
        <f>Glance!E71</f>
        <v>10.230000000000004</v>
      </c>
      <c r="F20" s="159">
        <f>Glance!F71</f>
        <v>94.98</v>
      </c>
      <c r="G20" s="46">
        <f>Glance!G71</f>
        <v>18.39</v>
      </c>
      <c r="H20" s="159">
        <f>Glance!H71</f>
        <v>90.82</v>
      </c>
      <c r="I20" s="37">
        <f t="shared" si="1"/>
        <v>-0.44371941272430648</v>
      </c>
      <c r="J20" s="41">
        <f t="shared" si="1"/>
        <v>4.5804888791015408E-2</v>
      </c>
    </row>
    <row r="21" spans="1:10">
      <c r="A21" s="58"/>
      <c r="B21" s="120">
        <v>8</v>
      </c>
      <c r="C21" s="97" t="s">
        <v>116</v>
      </c>
      <c r="D21" s="99"/>
      <c r="E21" s="46">
        <v>0</v>
      </c>
      <c r="F21" s="159">
        <v>0</v>
      </c>
      <c r="G21" s="46">
        <v>0</v>
      </c>
      <c r="H21" s="159">
        <v>0</v>
      </c>
      <c r="I21" s="37">
        <v>0</v>
      </c>
      <c r="J21" s="41">
        <v>0</v>
      </c>
    </row>
    <row r="22" spans="1:10">
      <c r="A22" s="58"/>
      <c r="B22" s="120">
        <v>9</v>
      </c>
      <c r="C22" s="97" t="s">
        <v>84</v>
      </c>
      <c r="D22" s="116">
        <v>77100</v>
      </c>
      <c r="E22" s="46">
        <f>Glance!E70</f>
        <v>87.54000000000002</v>
      </c>
      <c r="F22" s="159">
        <f>Glance!F70</f>
        <v>339.16</v>
      </c>
      <c r="G22" s="46">
        <f>Glance!G70</f>
        <v>79.66</v>
      </c>
      <c r="H22" s="159">
        <f>Glance!H70</f>
        <v>312.63</v>
      </c>
      <c r="I22" s="37">
        <f>E22/G22-1</f>
        <v>9.8920411749937598E-2</v>
      </c>
      <c r="J22" s="41">
        <f>F22/H22-1</f>
        <v>8.4860697949653119E-2</v>
      </c>
    </row>
    <row r="23" spans="1:10">
      <c r="A23" s="58"/>
      <c r="B23" s="120">
        <v>10</v>
      </c>
      <c r="C23" s="97" t="s">
        <v>82</v>
      </c>
      <c r="D23" s="116">
        <v>78</v>
      </c>
      <c r="E23" s="46">
        <f>Glance!E68</f>
        <v>6.9200000000000017</v>
      </c>
      <c r="F23" s="159">
        <f>Glance!F68</f>
        <v>94.64</v>
      </c>
      <c r="G23" s="46">
        <f>Glance!G68</f>
        <v>16.09</v>
      </c>
      <c r="H23" s="159">
        <f>Glance!H68</f>
        <v>110.05</v>
      </c>
      <c r="I23" s="37">
        <f>E23/G23-1</f>
        <v>-0.56991920447482891</v>
      </c>
      <c r="J23" s="41">
        <f>F23/H23-1</f>
        <v>-0.14002726033621082</v>
      </c>
    </row>
    <row r="24" spans="1:10" ht="60.75" customHeight="1">
      <c r="A24" s="58"/>
      <c r="B24" s="120">
        <v>11</v>
      </c>
      <c r="C24" s="122" t="s">
        <v>117</v>
      </c>
      <c r="D24" s="123" t="s">
        <v>118</v>
      </c>
      <c r="E24" s="159">
        <f>Glance!E73+Glance!E72</f>
        <v>-116.47999999999999</v>
      </c>
      <c r="F24" s="159">
        <f>Glance!F73+Glance!F72+0.01</f>
        <v>-37.900000000000006</v>
      </c>
      <c r="G24" s="159">
        <v>-29.33</v>
      </c>
      <c r="H24" s="159">
        <f>55.23-84.56</f>
        <v>-29.330000000000005</v>
      </c>
      <c r="I24" s="37">
        <v>0</v>
      </c>
      <c r="J24" s="41">
        <v>0</v>
      </c>
    </row>
    <row r="25" spans="1:10">
      <c r="A25" s="58"/>
      <c r="B25" s="120">
        <v>12</v>
      </c>
      <c r="C25" s="97" t="s">
        <v>119</v>
      </c>
      <c r="D25" s="116"/>
      <c r="E25" s="46">
        <v>22.4</v>
      </c>
      <c r="F25" s="159">
        <v>22.4</v>
      </c>
      <c r="G25" s="46">
        <f>+H25</f>
        <v>18.91</v>
      </c>
      <c r="H25" s="159">
        <v>18.91</v>
      </c>
      <c r="I25" s="37">
        <v>0</v>
      </c>
      <c r="J25" s="41">
        <v>0</v>
      </c>
    </row>
    <row r="26" spans="1:10">
      <c r="A26" s="58"/>
      <c r="B26" s="97">
        <v>13</v>
      </c>
      <c r="C26" s="97" t="s">
        <v>136</v>
      </c>
      <c r="D26" s="116"/>
      <c r="E26" s="160">
        <v>22.71</v>
      </c>
      <c r="F26" s="159">
        <v>22.71</v>
      </c>
      <c r="G26" s="46">
        <f>+H26</f>
        <v>42.46</v>
      </c>
      <c r="H26" s="159">
        <v>42.46</v>
      </c>
      <c r="I26" s="37">
        <v>0</v>
      </c>
      <c r="J26" s="41">
        <v>0</v>
      </c>
    </row>
    <row r="27" spans="1:10" ht="15.75" customHeight="1" thickBot="1">
      <c r="A27" s="100"/>
      <c r="B27" s="101">
        <v>14</v>
      </c>
      <c r="C27" s="124" t="s">
        <v>120</v>
      </c>
      <c r="D27" s="103"/>
      <c r="E27" s="105">
        <f>SUM(E18:E26)+E16</f>
        <v>3575.059999999999</v>
      </c>
      <c r="F27" s="105">
        <f>SUM(F18:F26)+F16</f>
        <v>12297.029999999999</v>
      </c>
      <c r="G27" s="104">
        <f>SUM(G18:G25)+G14</f>
        <v>3218.8007699999994</v>
      </c>
      <c r="H27" s="404">
        <f>SUM(H18:H26)+H16</f>
        <v>14160.119999999999</v>
      </c>
      <c r="I27" s="125">
        <f>E27/G27-1</f>
        <v>0.11068073343352647</v>
      </c>
      <c r="J27" s="126">
        <f>F27/H27-1</f>
        <v>-0.13157303751663119</v>
      </c>
    </row>
    <row r="28" spans="1:10" ht="2.25" customHeight="1">
      <c r="A28" s="127"/>
      <c r="B28" s="128"/>
      <c r="C28" s="128"/>
      <c r="D28" s="129"/>
      <c r="E28" s="130"/>
      <c r="F28" s="131"/>
      <c r="G28" s="132"/>
      <c r="H28" s="407"/>
      <c r="I28" s="133" t="e">
        <f>G28/#REF!-1</f>
        <v>#REF!</v>
      </c>
      <c r="J28" s="134"/>
    </row>
    <row r="29" spans="1:10" ht="30.75" hidden="1" thickBot="1">
      <c r="A29" s="135" t="s">
        <v>121</v>
      </c>
      <c r="B29" s="120"/>
      <c r="C29" s="136" t="s">
        <v>122</v>
      </c>
      <c r="D29" s="137"/>
      <c r="E29" s="174">
        <f>E10-E27</f>
        <v>309.25</v>
      </c>
      <c r="F29" s="174">
        <f>F10-F27</f>
        <v>103.57000000000153</v>
      </c>
      <c r="G29" s="175"/>
      <c r="H29" s="408">
        <f>H10-H27</f>
        <v>72.335853664177193</v>
      </c>
      <c r="I29" s="81"/>
      <c r="J29" s="138"/>
    </row>
    <row r="30" spans="1:10" ht="0.75" customHeight="1">
      <c r="A30" s="58"/>
      <c r="B30" s="97"/>
      <c r="C30" s="60"/>
      <c r="D30" s="116"/>
      <c r="E30" s="139"/>
      <c r="F30" s="139"/>
      <c r="G30" s="132"/>
      <c r="H30" s="409"/>
      <c r="I30" s="140" t="e">
        <f>+(G30-#REF!)/#REF!*100</f>
        <v>#REF!</v>
      </c>
      <c r="J30" s="134" t="e">
        <f>+(H30-#REF!)/#REF!*100</f>
        <v>#REF!</v>
      </c>
    </row>
    <row r="31" spans="1:10" ht="15.75" thickBot="1">
      <c r="A31" s="100" t="s">
        <v>123</v>
      </c>
      <c r="B31" s="124"/>
      <c r="C31" s="102" t="s">
        <v>124</v>
      </c>
      <c r="D31" s="103"/>
      <c r="E31" s="371"/>
      <c r="F31" s="371">
        <f>+F10-F27</f>
        <v>103.57000000000153</v>
      </c>
      <c r="G31" s="371"/>
      <c r="H31" s="371">
        <f>+H10-H27</f>
        <v>72.335853664177193</v>
      </c>
      <c r="I31" s="141"/>
      <c r="J31" s="142"/>
    </row>
    <row r="32" spans="1:10" ht="14.25" hidden="1" customHeight="1" thickBot="1">
      <c r="A32" s="509" t="s">
        <v>125</v>
      </c>
      <c r="B32" s="510"/>
      <c r="C32" s="510"/>
      <c r="D32" s="510"/>
      <c r="E32" s="510"/>
      <c r="F32" s="510"/>
      <c r="G32" s="510"/>
      <c r="H32" s="510"/>
      <c r="I32" s="510"/>
      <c r="J32" s="511"/>
    </row>
    <row r="33" spans="1:10" ht="33.75" hidden="1" customHeight="1" thickBot="1">
      <c r="A33" s="509" t="s">
        <v>134</v>
      </c>
      <c r="B33" s="510"/>
      <c r="C33" s="510"/>
      <c r="D33" s="510"/>
      <c r="E33" s="510"/>
      <c r="F33" s="510"/>
      <c r="G33" s="510"/>
      <c r="H33" s="510"/>
      <c r="I33" s="510"/>
      <c r="J33" s="511"/>
    </row>
    <row r="34" spans="1:10" ht="3" customHeight="1"/>
    <row r="35" spans="1:10" hidden="1">
      <c r="F35" s="85">
        <f>1300625.33/100</f>
        <v>13006.2533</v>
      </c>
    </row>
    <row r="36" spans="1:10" hidden="1">
      <c r="E36" s="143"/>
      <c r="F36" s="143"/>
    </row>
    <row r="37" spans="1:10" hidden="1">
      <c r="F37" s="85">
        <f>1303.91/100</f>
        <v>13.039100000000001</v>
      </c>
    </row>
    <row r="38" spans="1:10" hidden="1">
      <c r="F38" s="143">
        <f>F29-F37</f>
        <v>90.530900000001523</v>
      </c>
    </row>
    <row r="39" spans="1:10">
      <c r="E39" s="143"/>
      <c r="F39" s="143"/>
    </row>
    <row r="40" spans="1:10">
      <c r="C40" s="84" t="s">
        <v>1269</v>
      </c>
      <c r="E40" s="143"/>
    </row>
    <row r="41" spans="1:10">
      <c r="E41" s="143"/>
    </row>
  </sheetData>
  <mergeCells count="8">
    <mergeCell ref="A33:J33"/>
    <mergeCell ref="A1:H1"/>
    <mergeCell ref="I1:J1"/>
    <mergeCell ref="E3:F3"/>
    <mergeCell ref="G3:H3"/>
    <mergeCell ref="I3:J3"/>
    <mergeCell ref="A32:J32"/>
    <mergeCell ref="I2:J2"/>
  </mergeCells>
  <printOptions horizontalCentered="1" verticalCentered="1"/>
  <pageMargins left="0.55118110236220474" right="0.74803149606299213" top="0.78740157480314965" bottom="0.59055118110236227" header="0.31496062992125984" footer="0.31496062992125984"/>
  <pageSetup paperSize="9" scale="80" orientation="landscape" r:id="rId1"/>
  <headerFooter alignWithMargins="0"/>
  <legacyDrawing r:id="rId2"/>
  <oleObjects>
    <oleObject progId="PBrush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opLeftCell="A9" zoomScaleNormal="100" workbookViewId="0">
      <selection sqref="A1:H16"/>
    </sheetView>
  </sheetViews>
  <sheetFormatPr defaultRowHeight="12.75"/>
  <cols>
    <col min="1" max="1" width="8.7109375" style="432" customWidth="1"/>
    <col min="2" max="2" width="25.85546875" style="432" customWidth="1"/>
    <col min="3" max="3" width="10.140625" style="432" customWidth="1"/>
    <col min="4" max="4" width="20.7109375" style="435" customWidth="1"/>
    <col min="5" max="5" width="14" style="435" customWidth="1"/>
    <col min="6" max="6" width="22.42578125" style="435" customWidth="1"/>
    <col min="7" max="7" width="18.42578125" style="435" customWidth="1"/>
    <col min="8" max="8" width="20.140625" style="435" customWidth="1"/>
    <col min="9" max="9" width="11.85546875" style="432" customWidth="1"/>
    <col min="10" max="10" width="12.7109375" style="432" customWidth="1"/>
    <col min="11" max="11" width="9.140625" style="432"/>
    <col min="12" max="12" width="19.5703125" style="432" bestFit="1" customWidth="1"/>
    <col min="13" max="256" width="9.140625" style="432"/>
    <col min="257" max="257" width="8.7109375" style="432" customWidth="1"/>
    <col min="258" max="258" width="25.85546875" style="432" customWidth="1"/>
    <col min="259" max="259" width="10.140625" style="432" customWidth="1"/>
    <col min="260" max="260" width="20.7109375" style="432" customWidth="1"/>
    <col min="261" max="261" width="14" style="432" customWidth="1"/>
    <col min="262" max="262" width="22.42578125" style="432" customWidth="1"/>
    <col min="263" max="263" width="18.42578125" style="432" customWidth="1"/>
    <col min="264" max="264" width="20.140625" style="432" customWidth="1"/>
    <col min="265" max="265" width="11.85546875" style="432" customWidth="1"/>
    <col min="266" max="266" width="12.7109375" style="432" customWidth="1"/>
    <col min="267" max="267" width="9.140625" style="432"/>
    <col min="268" max="268" width="19.5703125" style="432" bestFit="1" customWidth="1"/>
    <col min="269" max="512" width="9.140625" style="432"/>
    <col min="513" max="513" width="8.7109375" style="432" customWidth="1"/>
    <col min="514" max="514" width="25.85546875" style="432" customWidth="1"/>
    <col min="515" max="515" width="10.140625" style="432" customWidth="1"/>
    <col min="516" max="516" width="20.7109375" style="432" customWidth="1"/>
    <col min="517" max="517" width="14" style="432" customWidth="1"/>
    <col min="518" max="518" width="22.42578125" style="432" customWidth="1"/>
    <col min="519" max="519" width="18.42578125" style="432" customWidth="1"/>
    <col min="520" max="520" width="20.140625" style="432" customWidth="1"/>
    <col min="521" max="521" width="11.85546875" style="432" customWidth="1"/>
    <col min="522" max="522" width="12.7109375" style="432" customWidth="1"/>
    <col min="523" max="523" width="9.140625" style="432"/>
    <col min="524" max="524" width="19.5703125" style="432" bestFit="1" customWidth="1"/>
    <col min="525" max="768" width="9.140625" style="432"/>
    <col min="769" max="769" width="8.7109375" style="432" customWidth="1"/>
    <col min="770" max="770" width="25.85546875" style="432" customWidth="1"/>
    <col min="771" max="771" width="10.140625" style="432" customWidth="1"/>
    <col min="772" max="772" width="20.7109375" style="432" customWidth="1"/>
    <col min="773" max="773" width="14" style="432" customWidth="1"/>
    <col min="774" max="774" width="22.42578125" style="432" customWidth="1"/>
    <col min="775" max="775" width="18.42578125" style="432" customWidth="1"/>
    <col min="776" max="776" width="20.140625" style="432" customWidth="1"/>
    <col min="777" max="777" width="11.85546875" style="432" customWidth="1"/>
    <col min="778" max="778" width="12.7109375" style="432" customWidth="1"/>
    <col min="779" max="779" width="9.140625" style="432"/>
    <col min="780" max="780" width="19.5703125" style="432" bestFit="1" customWidth="1"/>
    <col min="781" max="1024" width="9.140625" style="432"/>
    <col min="1025" max="1025" width="8.7109375" style="432" customWidth="1"/>
    <col min="1026" max="1026" width="25.85546875" style="432" customWidth="1"/>
    <col min="1027" max="1027" width="10.140625" style="432" customWidth="1"/>
    <col min="1028" max="1028" width="20.7109375" style="432" customWidth="1"/>
    <col min="1029" max="1029" width="14" style="432" customWidth="1"/>
    <col min="1030" max="1030" width="22.42578125" style="432" customWidth="1"/>
    <col min="1031" max="1031" width="18.42578125" style="432" customWidth="1"/>
    <col min="1032" max="1032" width="20.140625" style="432" customWidth="1"/>
    <col min="1033" max="1033" width="11.85546875" style="432" customWidth="1"/>
    <col min="1034" max="1034" width="12.7109375" style="432" customWidth="1"/>
    <col min="1035" max="1035" width="9.140625" style="432"/>
    <col min="1036" max="1036" width="19.5703125" style="432" bestFit="1" customWidth="1"/>
    <col min="1037" max="1280" width="9.140625" style="432"/>
    <col min="1281" max="1281" width="8.7109375" style="432" customWidth="1"/>
    <col min="1282" max="1282" width="25.85546875" style="432" customWidth="1"/>
    <col min="1283" max="1283" width="10.140625" style="432" customWidth="1"/>
    <col min="1284" max="1284" width="20.7109375" style="432" customWidth="1"/>
    <col min="1285" max="1285" width="14" style="432" customWidth="1"/>
    <col min="1286" max="1286" width="22.42578125" style="432" customWidth="1"/>
    <col min="1287" max="1287" width="18.42578125" style="432" customWidth="1"/>
    <col min="1288" max="1288" width="20.140625" style="432" customWidth="1"/>
    <col min="1289" max="1289" width="11.85546875" style="432" customWidth="1"/>
    <col min="1290" max="1290" width="12.7109375" style="432" customWidth="1"/>
    <col min="1291" max="1291" width="9.140625" style="432"/>
    <col min="1292" max="1292" width="19.5703125" style="432" bestFit="1" customWidth="1"/>
    <col min="1293" max="1536" width="9.140625" style="432"/>
    <col min="1537" max="1537" width="8.7109375" style="432" customWidth="1"/>
    <col min="1538" max="1538" width="25.85546875" style="432" customWidth="1"/>
    <col min="1539" max="1539" width="10.140625" style="432" customWidth="1"/>
    <col min="1540" max="1540" width="20.7109375" style="432" customWidth="1"/>
    <col min="1541" max="1541" width="14" style="432" customWidth="1"/>
    <col min="1542" max="1542" width="22.42578125" style="432" customWidth="1"/>
    <col min="1543" max="1543" width="18.42578125" style="432" customWidth="1"/>
    <col min="1544" max="1544" width="20.140625" style="432" customWidth="1"/>
    <col min="1545" max="1545" width="11.85546875" style="432" customWidth="1"/>
    <col min="1546" max="1546" width="12.7109375" style="432" customWidth="1"/>
    <col min="1547" max="1547" width="9.140625" style="432"/>
    <col min="1548" max="1548" width="19.5703125" style="432" bestFit="1" customWidth="1"/>
    <col min="1549" max="1792" width="9.140625" style="432"/>
    <col min="1793" max="1793" width="8.7109375" style="432" customWidth="1"/>
    <col min="1794" max="1794" width="25.85546875" style="432" customWidth="1"/>
    <col min="1795" max="1795" width="10.140625" style="432" customWidth="1"/>
    <col min="1796" max="1796" width="20.7109375" style="432" customWidth="1"/>
    <col min="1797" max="1797" width="14" style="432" customWidth="1"/>
    <col min="1798" max="1798" width="22.42578125" style="432" customWidth="1"/>
    <col min="1799" max="1799" width="18.42578125" style="432" customWidth="1"/>
    <col min="1800" max="1800" width="20.140625" style="432" customWidth="1"/>
    <col min="1801" max="1801" width="11.85546875" style="432" customWidth="1"/>
    <col min="1802" max="1802" width="12.7109375" style="432" customWidth="1"/>
    <col min="1803" max="1803" width="9.140625" style="432"/>
    <col min="1804" max="1804" width="19.5703125" style="432" bestFit="1" customWidth="1"/>
    <col min="1805" max="2048" width="9.140625" style="432"/>
    <col min="2049" max="2049" width="8.7109375" style="432" customWidth="1"/>
    <col min="2050" max="2050" width="25.85546875" style="432" customWidth="1"/>
    <col min="2051" max="2051" width="10.140625" style="432" customWidth="1"/>
    <col min="2052" max="2052" width="20.7109375" style="432" customWidth="1"/>
    <col min="2053" max="2053" width="14" style="432" customWidth="1"/>
    <col min="2054" max="2054" width="22.42578125" style="432" customWidth="1"/>
    <col min="2055" max="2055" width="18.42578125" style="432" customWidth="1"/>
    <col min="2056" max="2056" width="20.140625" style="432" customWidth="1"/>
    <col min="2057" max="2057" width="11.85546875" style="432" customWidth="1"/>
    <col min="2058" max="2058" width="12.7109375" style="432" customWidth="1"/>
    <col min="2059" max="2059" width="9.140625" style="432"/>
    <col min="2060" max="2060" width="19.5703125" style="432" bestFit="1" customWidth="1"/>
    <col min="2061" max="2304" width="9.140625" style="432"/>
    <col min="2305" max="2305" width="8.7109375" style="432" customWidth="1"/>
    <col min="2306" max="2306" width="25.85546875" style="432" customWidth="1"/>
    <col min="2307" max="2307" width="10.140625" style="432" customWidth="1"/>
    <col min="2308" max="2308" width="20.7109375" style="432" customWidth="1"/>
    <col min="2309" max="2309" width="14" style="432" customWidth="1"/>
    <col min="2310" max="2310" width="22.42578125" style="432" customWidth="1"/>
    <col min="2311" max="2311" width="18.42578125" style="432" customWidth="1"/>
    <col min="2312" max="2312" width="20.140625" style="432" customWidth="1"/>
    <col min="2313" max="2313" width="11.85546875" style="432" customWidth="1"/>
    <col min="2314" max="2314" width="12.7109375" style="432" customWidth="1"/>
    <col min="2315" max="2315" width="9.140625" style="432"/>
    <col min="2316" max="2316" width="19.5703125" style="432" bestFit="1" customWidth="1"/>
    <col min="2317" max="2560" width="9.140625" style="432"/>
    <col min="2561" max="2561" width="8.7109375" style="432" customWidth="1"/>
    <col min="2562" max="2562" width="25.85546875" style="432" customWidth="1"/>
    <col min="2563" max="2563" width="10.140625" style="432" customWidth="1"/>
    <col min="2564" max="2564" width="20.7109375" style="432" customWidth="1"/>
    <col min="2565" max="2565" width="14" style="432" customWidth="1"/>
    <col min="2566" max="2566" width="22.42578125" style="432" customWidth="1"/>
    <col min="2567" max="2567" width="18.42578125" style="432" customWidth="1"/>
    <col min="2568" max="2568" width="20.140625" style="432" customWidth="1"/>
    <col min="2569" max="2569" width="11.85546875" style="432" customWidth="1"/>
    <col min="2570" max="2570" width="12.7109375" style="432" customWidth="1"/>
    <col min="2571" max="2571" width="9.140625" style="432"/>
    <col min="2572" max="2572" width="19.5703125" style="432" bestFit="1" customWidth="1"/>
    <col min="2573" max="2816" width="9.140625" style="432"/>
    <col min="2817" max="2817" width="8.7109375" style="432" customWidth="1"/>
    <col min="2818" max="2818" width="25.85546875" style="432" customWidth="1"/>
    <col min="2819" max="2819" width="10.140625" style="432" customWidth="1"/>
    <col min="2820" max="2820" width="20.7109375" style="432" customWidth="1"/>
    <col min="2821" max="2821" width="14" style="432" customWidth="1"/>
    <col min="2822" max="2822" width="22.42578125" style="432" customWidth="1"/>
    <col min="2823" max="2823" width="18.42578125" style="432" customWidth="1"/>
    <col min="2824" max="2824" width="20.140625" style="432" customWidth="1"/>
    <col min="2825" max="2825" width="11.85546875" style="432" customWidth="1"/>
    <col min="2826" max="2826" width="12.7109375" style="432" customWidth="1"/>
    <col min="2827" max="2827" width="9.140625" style="432"/>
    <col min="2828" max="2828" width="19.5703125" style="432" bestFit="1" customWidth="1"/>
    <col min="2829" max="3072" width="9.140625" style="432"/>
    <col min="3073" max="3073" width="8.7109375" style="432" customWidth="1"/>
    <col min="3074" max="3074" width="25.85546875" style="432" customWidth="1"/>
    <col min="3075" max="3075" width="10.140625" style="432" customWidth="1"/>
    <col min="3076" max="3076" width="20.7109375" style="432" customWidth="1"/>
    <col min="3077" max="3077" width="14" style="432" customWidth="1"/>
    <col min="3078" max="3078" width="22.42578125" style="432" customWidth="1"/>
    <col min="3079" max="3079" width="18.42578125" style="432" customWidth="1"/>
    <col min="3080" max="3080" width="20.140625" style="432" customWidth="1"/>
    <col min="3081" max="3081" width="11.85546875" style="432" customWidth="1"/>
    <col min="3082" max="3082" width="12.7109375" style="432" customWidth="1"/>
    <col min="3083" max="3083" width="9.140625" style="432"/>
    <col min="3084" max="3084" width="19.5703125" style="432" bestFit="1" customWidth="1"/>
    <col min="3085" max="3328" width="9.140625" style="432"/>
    <col min="3329" max="3329" width="8.7109375" style="432" customWidth="1"/>
    <col min="3330" max="3330" width="25.85546875" style="432" customWidth="1"/>
    <col min="3331" max="3331" width="10.140625" style="432" customWidth="1"/>
    <col min="3332" max="3332" width="20.7109375" style="432" customWidth="1"/>
    <col min="3333" max="3333" width="14" style="432" customWidth="1"/>
    <col min="3334" max="3334" width="22.42578125" style="432" customWidth="1"/>
    <col min="3335" max="3335" width="18.42578125" style="432" customWidth="1"/>
    <col min="3336" max="3336" width="20.140625" style="432" customWidth="1"/>
    <col min="3337" max="3337" width="11.85546875" style="432" customWidth="1"/>
    <col min="3338" max="3338" width="12.7109375" style="432" customWidth="1"/>
    <col min="3339" max="3339" width="9.140625" style="432"/>
    <col min="3340" max="3340" width="19.5703125" style="432" bestFit="1" customWidth="1"/>
    <col min="3341" max="3584" width="9.140625" style="432"/>
    <col min="3585" max="3585" width="8.7109375" style="432" customWidth="1"/>
    <col min="3586" max="3586" width="25.85546875" style="432" customWidth="1"/>
    <col min="3587" max="3587" width="10.140625" style="432" customWidth="1"/>
    <col min="3588" max="3588" width="20.7109375" style="432" customWidth="1"/>
    <col min="3589" max="3589" width="14" style="432" customWidth="1"/>
    <col min="3590" max="3590" width="22.42578125" style="432" customWidth="1"/>
    <col min="3591" max="3591" width="18.42578125" style="432" customWidth="1"/>
    <col min="3592" max="3592" width="20.140625" style="432" customWidth="1"/>
    <col min="3593" max="3593" width="11.85546875" style="432" customWidth="1"/>
    <col min="3594" max="3594" width="12.7109375" style="432" customWidth="1"/>
    <col min="3595" max="3595" width="9.140625" style="432"/>
    <col min="3596" max="3596" width="19.5703125" style="432" bestFit="1" customWidth="1"/>
    <col min="3597" max="3840" width="9.140625" style="432"/>
    <col min="3841" max="3841" width="8.7109375" style="432" customWidth="1"/>
    <col min="3842" max="3842" width="25.85546875" style="432" customWidth="1"/>
    <col min="3843" max="3843" width="10.140625" style="432" customWidth="1"/>
    <col min="3844" max="3844" width="20.7109375" style="432" customWidth="1"/>
    <col min="3845" max="3845" width="14" style="432" customWidth="1"/>
    <col min="3846" max="3846" width="22.42578125" style="432" customWidth="1"/>
    <col min="3847" max="3847" width="18.42578125" style="432" customWidth="1"/>
    <col min="3848" max="3848" width="20.140625" style="432" customWidth="1"/>
    <col min="3849" max="3849" width="11.85546875" style="432" customWidth="1"/>
    <col min="3850" max="3850" width="12.7109375" style="432" customWidth="1"/>
    <col min="3851" max="3851" width="9.140625" style="432"/>
    <col min="3852" max="3852" width="19.5703125" style="432" bestFit="1" customWidth="1"/>
    <col min="3853" max="4096" width="9.140625" style="432"/>
    <col min="4097" max="4097" width="8.7109375" style="432" customWidth="1"/>
    <col min="4098" max="4098" width="25.85546875" style="432" customWidth="1"/>
    <col min="4099" max="4099" width="10.140625" style="432" customWidth="1"/>
    <col min="4100" max="4100" width="20.7109375" style="432" customWidth="1"/>
    <col min="4101" max="4101" width="14" style="432" customWidth="1"/>
    <col min="4102" max="4102" width="22.42578125" style="432" customWidth="1"/>
    <col min="4103" max="4103" width="18.42578125" style="432" customWidth="1"/>
    <col min="4104" max="4104" width="20.140625" style="432" customWidth="1"/>
    <col min="4105" max="4105" width="11.85546875" style="432" customWidth="1"/>
    <col min="4106" max="4106" width="12.7109375" style="432" customWidth="1"/>
    <col min="4107" max="4107" width="9.140625" style="432"/>
    <col min="4108" max="4108" width="19.5703125" style="432" bestFit="1" customWidth="1"/>
    <col min="4109" max="4352" width="9.140625" style="432"/>
    <col min="4353" max="4353" width="8.7109375" style="432" customWidth="1"/>
    <col min="4354" max="4354" width="25.85546875" style="432" customWidth="1"/>
    <col min="4355" max="4355" width="10.140625" style="432" customWidth="1"/>
    <col min="4356" max="4356" width="20.7109375" style="432" customWidth="1"/>
    <col min="4357" max="4357" width="14" style="432" customWidth="1"/>
    <col min="4358" max="4358" width="22.42578125" style="432" customWidth="1"/>
    <col min="4359" max="4359" width="18.42578125" style="432" customWidth="1"/>
    <col min="4360" max="4360" width="20.140625" style="432" customWidth="1"/>
    <col min="4361" max="4361" width="11.85546875" style="432" customWidth="1"/>
    <col min="4362" max="4362" width="12.7109375" style="432" customWidth="1"/>
    <col min="4363" max="4363" width="9.140625" style="432"/>
    <col min="4364" max="4364" width="19.5703125" style="432" bestFit="1" customWidth="1"/>
    <col min="4365" max="4608" width="9.140625" style="432"/>
    <col min="4609" max="4609" width="8.7109375" style="432" customWidth="1"/>
    <col min="4610" max="4610" width="25.85546875" style="432" customWidth="1"/>
    <col min="4611" max="4611" width="10.140625" style="432" customWidth="1"/>
    <col min="4612" max="4612" width="20.7109375" style="432" customWidth="1"/>
    <col min="4613" max="4613" width="14" style="432" customWidth="1"/>
    <col min="4614" max="4614" width="22.42578125" style="432" customWidth="1"/>
    <col min="4615" max="4615" width="18.42578125" style="432" customWidth="1"/>
    <col min="4616" max="4616" width="20.140625" style="432" customWidth="1"/>
    <col min="4617" max="4617" width="11.85546875" style="432" customWidth="1"/>
    <col min="4618" max="4618" width="12.7109375" style="432" customWidth="1"/>
    <col min="4619" max="4619" width="9.140625" style="432"/>
    <col min="4620" max="4620" width="19.5703125" style="432" bestFit="1" customWidth="1"/>
    <col min="4621" max="4864" width="9.140625" style="432"/>
    <col min="4865" max="4865" width="8.7109375" style="432" customWidth="1"/>
    <col min="4866" max="4866" width="25.85546875" style="432" customWidth="1"/>
    <col min="4867" max="4867" width="10.140625" style="432" customWidth="1"/>
    <col min="4868" max="4868" width="20.7109375" style="432" customWidth="1"/>
    <col min="4869" max="4869" width="14" style="432" customWidth="1"/>
    <col min="4870" max="4870" width="22.42578125" style="432" customWidth="1"/>
    <col min="4871" max="4871" width="18.42578125" style="432" customWidth="1"/>
    <col min="4872" max="4872" width="20.140625" style="432" customWidth="1"/>
    <col min="4873" max="4873" width="11.85546875" style="432" customWidth="1"/>
    <col min="4874" max="4874" width="12.7109375" style="432" customWidth="1"/>
    <col min="4875" max="4875" width="9.140625" style="432"/>
    <col min="4876" max="4876" width="19.5703125" style="432" bestFit="1" customWidth="1"/>
    <col min="4877" max="5120" width="9.140625" style="432"/>
    <col min="5121" max="5121" width="8.7109375" style="432" customWidth="1"/>
    <col min="5122" max="5122" width="25.85546875" style="432" customWidth="1"/>
    <col min="5123" max="5123" width="10.140625" style="432" customWidth="1"/>
    <col min="5124" max="5124" width="20.7109375" style="432" customWidth="1"/>
    <col min="5125" max="5125" width="14" style="432" customWidth="1"/>
    <col min="5126" max="5126" width="22.42578125" style="432" customWidth="1"/>
    <col min="5127" max="5127" width="18.42578125" style="432" customWidth="1"/>
    <col min="5128" max="5128" width="20.140625" style="432" customWidth="1"/>
    <col min="5129" max="5129" width="11.85546875" style="432" customWidth="1"/>
    <col min="5130" max="5130" width="12.7109375" style="432" customWidth="1"/>
    <col min="5131" max="5131" width="9.140625" style="432"/>
    <col min="5132" max="5132" width="19.5703125" style="432" bestFit="1" customWidth="1"/>
    <col min="5133" max="5376" width="9.140625" style="432"/>
    <col min="5377" max="5377" width="8.7109375" style="432" customWidth="1"/>
    <col min="5378" max="5378" width="25.85546875" style="432" customWidth="1"/>
    <col min="5379" max="5379" width="10.140625" style="432" customWidth="1"/>
    <col min="5380" max="5380" width="20.7109375" style="432" customWidth="1"/>
    <col min="5381" max="5381" width="14" style="432" customWidth="1"/>
    <col min="5382" max="5382" width="22.42578125" style="432" customWidth="1"/>
    <col min="5383" max="5383" width="18.42578125" style="432" customWidth="1"/>
    <col min="5384" max="5384" width="20.140625" style="432" customWidth="1"/>
    <col min="5385" max="5385" width="11.85546875" style="432" customWidth="1"/>
    <col min="5386" max="5386" width="12.7109375" style="432" customWidth="1"/>
    <col min="5387" max="5387" width="9.140625" style="432"/>
    <col min="5388" max="5388" width="19.5703125" style="432" bestFit="1" customWidth="1"/>
    <col min="5389" max="5632" width="9.140625" style="432"/>
    <col min="5633" max="5633" width="8.7109375" style="432" customWidth="1"/>
    <col min="5634" max="5634" width="25.85546875" style="432" customWidth="1"/>
    <col min="5635" max="5635" width="10.140625" style="432" customWidth="1"/>
    <col min="5636" max="5636" width="20.7109375" style="432" customWidth="1"/>
    <col min="5637" max="5637" width="14" style="432" customWidth="1"/>
    <col min="5638" max="5638" width="22.42578125" style="432" customWidth="1"/>
    <col min="5639" max="5639" width="18.42578125" style="432" customWidth="1"/>
    <col min="5640" max="5640" width="20.140625" style="432" customWidth="1"/>
    <col min="5641" max="5641" width="11.85546875" style="432" customWidth="1"/>
    <col min="5642" max="5642" width="12.7109375" style="432" customWidth="1"/>
    <col min="5643" max="5643" width="9.140625" style="432"/>
    <col min="5644" max="5644" width="19.5703125" style="432" bestFit="1" customWidth="1"/>
    <col min="5645" max="5888" width="9.140625" style="432"/>
    <col min="5889" max="5889" width="8.7109375" style="432" customWidth="1"/>
    <col min="5890" max="5890" width="25.85546875" style="432" customWidth="1"/>
    <col min="5891" max="5891" width="10.140625" style="432" customWidth="1"/>
    <col min="5892" max="5892" width="20.7109375" style="432" customWidth="1"/>
    <col min="5893" max="5893" width="14" style="432" customWidth="1"/>
    <col min="5894" max="5894" width="22.42578125" style="432" customWidth="1"/>
    <col min="5895" max="5895" width="18.42578125" style="432" customWidth="1"/>
    <col min="5896" max="5896" width="20.140625" style="432" customWidth="1"/>
    <col min="5897" max="5897" width="11.85546875" style="432" customWidth="1"/>
    <col min="5898" max="5898" width="12.7109375" style="432" customWidth="1"/>
    <col min="5899" max="5899" width="9.140625" style="432"/>
    <col min="5900" max="5900" width="19.5703125" style="432" bestFit="1" customWidth="1"/>
    <col min="5901" max="6144" width="9.140625" style="432"/>
    <col min="6145" max="6145" width="8.7109375" style="432" customWidth="1"/>
    <col min="6146" max="6146" width="25.85546875" style="432" customWidth="1"/>
    <col min="6147" max="6147" width="10.140625" style="432" customWidth="1"/>
    <col min="6148" max="6148" width="20.7109375" style="432" customWidth="1"/>
    <col min="6149" max="6149" width="14" style="432" customWidth="1"/>
    <col min="6150" max="6150" width="22.42578125" style="432" customWidth="1"/>
    <col min="6151" max="6151" width="18.42578125" style="432" customWidth="1"/>
    <col min="6152" max="6152" width="20.140625" style="432" customWidth="1"/>
    <col min="6153" max="6153" width="11.85546875" style="432" customWidth="1"/>
    <col min="6154" max="6154" width="12.7109375" style="432" customWidth="1"/>
    <col min="6155" max="6155" width="9.140625" style="432"/>
    <col min="6156" max="6156" width="19.5703125" style="432" bestFit="1" customWidth="1"/>
    <col min="6157" max="6400" width="9.140625" style="432"/>
    <col min="6401" max="6401" width="8.7109375" style="432" customWidth="1"/>
    <col min="6402" max="6402" width="25.85546875" style="432" customWidth="1"/>
    <col min="6403" max="6403" width="10.140625" style="432" customWidth="1"/>
    <col min="6404" max="6404" width="20.7109375" style="432" customWidth="1"/>
    <col min="6405" max="6405" width="14" style="432" customWidth="1"/>
    <col min="6406" max="6406" width="22.42578125" style="432" customWidth="1"/>
    <col min="6407" max="6407" width="18.42578125" style="432" customWidth="1"/>
    <col min="6408" max="6408" width="20.140625" style="432" customWidth="1"/>
    <col min="6409" max="6409" width="11.85546875" style="432" customWidth="1"/>
    <col min="6410" max="6410" width="12.7109375" style="432" customWidth="1"/>
    <col min="6411" max="6411" width="9.140625" style="432"/>
    <col min="6412" max="6412" width="19.5703125" style="432" bestFit="1" customWidth="1"/>
    <col min="6413" max="6656" width="9.140625" style="432"/>
    <col min="6657" max="6657" width="8.7109375" style="432" customWidth="1"/>
    <col min="6658" max="6658" width="25.85546875" style="432" customWidth="1"/>
    <col min="6659" max="6659" width="10.140625" style="432" customWidth="1"/>
    <col min="6660" max="6660" width="20.7109375" style="432" customWidth="1"/>
    <col min="6661" max="6661" width="14" style="432" customWidth="1"/>
    <col min="6662" max="6662" width="22.42578125" style="432" customWidth="1"/>
    <col min="6663" max="6663" width="18.42578125" style="432" customWidth="1"/>
    <col min="6664" max="6664" width="20.140625" style="432" customWidth="1"/>
    <col min="6665" max="6665" width="11.85546875" style="432" customWidth="1"/>
    <col min="6666" max="6666" width="12.7109375" style="432" customWidth="1"/>
    <col min="6667" max="6667" width="9.140625" style="432"/>
    <col min="6668" max="6668" width="19.5703125" style="432" bestFit="1" customWidth="1"/>
    <col min="6669" max="6912" width="9.140625" style="432"/>
    <col min="6913" max="6913" width="8.7109375" style="432" customWidth="1"/>
    <col min="6914" max="6914" width="25.85546875" style="432" customWidth="1"/>
    <col min="6915" max="6915" width="10.140625" style="432" customWidth="1"/>
    <col min="6916" max="6916" width="20.7109375" style="432" customWidth="1"/>
    <col min="6917" max="6917" width="14" style="432" customWidth="1"/>
    <col min="6918" max="6918" width="22.42578125" style="432" customWidth="1"/>
    <col min="6919" max="6919" width="18.42578125" style="432" customWidth="1"/>
    <col min="6920" max="6920" width="20.140625" style="432" customWidth="1"/>
    <col min="6921" max="6921" width="11.85546875" style="432" customWidth="1"/>
    <col min="6922" max="6922" width="12.7109375" style="432" customWidth="1"/>
    <col min="6923" max="6923" width="9.140625" style="432"/>
    <col min="6924" max="6924" width="19.5703125" style="432" bestFit="1" customWidth="1"/>
    <col min="6925" max="7168" width="9.140625" style="432"/>
    <col min="7169" max="7169" width="8.7109375" style="432" customWidth="1"/>
    <col min="7170" max="7170" width="25.85546875" style="432" customWidth="1"/>
    <col min="7171" max="7171" width="10.140625" style="432" customWidth="1"/>
    <col min="7172" max="7172" width="20.7109375" style="432" customWidth="1"/>
    <col min="7173" max="7173" width="14" style="432" customWidth="1"/>
    <col min="7174" max="7174" width="22.42578125" style="432" customWidth="1"/>
    <col min="7175" max="7175" width="18.42578125" style="432" customWidth="1"/>
    <col min="7176" max="7176" width="20.140625" style="432" customWidth="1"/>
    <col min="7177" max="7177" width="11.85546875" style="432" customWidth="1"/>
    <col min="7178" max="7178" width="12.7109375" style="432" customWidth="1"/>
    <col min="7179" max="7179" width="9.140625" style="432"/>
    <col min="7180" max="7180" width="19.5703125" style="432" bestFit="1" customWidth="1"/>
    <col min="7181" max="7424" width="9.140625" style="432"/>
    <col min="7425" max="7425" width="8.7109375" style="432" customWidth="1"/>
    <col min="7426" max="7426" width="25.85546875" style="432" customWidth="1"/>
    <col min="7427" max="7427" width="10.140625" style="432" customWidth="1"/>
    <col min="7428" max="7428" width="20.7109375" style="432" customWidth="1"/>
    <col min="7429" max="7429" width="14" style="432" customWidth="1"/>
    <col min="7430" max="7430" width="22.42578125" style="432" customWidth="1"/>
    <col min="7431" max="7431" width="18.42578125" style="432" customWidth="1"/>
    <col min="7432" max="7432" width="20.140625" style="432" customWidth="1"/>
    <col min="7433" max="7433" width="11.85546875" style="432" customWidth="1"/>
    <col min="7434" max="7434" width="12.7109375" style="432" customWidth="1"/>
    <col min="7435" max="7435" width="9.140625" style="432"/>
    <col min="7436" max="7436" width="19.5703125" style="432" bestFit="1" customWidth="1"/>
    <col min="7437" max="7680" width="9.140625" style="432"/>
    <col min="7681" max="7681" width="8.7109375" style="432" customWidth="1"/>
    <col min="7682" max="7682" width="25.85546875" style="432" customWidth="1"/>
    <col min="7683" max="7683" width="10.140625" style="432" customWidth="1"/>
    <col min="7684" max="7684" width="20.7109375" style="432" customWidth="1"/>
    <col min="7685" max="7685" width="14" style="432" customWidth="1"/>
    <col min="7686" max="7686" width="22.42578125" style="432" customWidth="1"/>
    <col min="7687" max="7687" width="18.42578125" style="432" customWidth="1"/>
    <col min="7688" max="7688" width="20.140625" style="432" customWidth="1"/>
    <col min="7689" max="7689" width="11.85546875" style="432" customWidth="1"/>
    <col min="7690" max="7690" width="12.7109375" style="432" customWidth="1"/>
    <col min="7691" max="7691" width="9.140625" style="432"/>
    <col min="7692" max="7692" width="19.5703125" style="432" bestFit="1" customWidth="1"/>
    <col min="7693" max="7936" width="9.140625" style="432"/>
    <col min="7937" max="7937" width="8.7109375" style="432" customWidth="1"/>
    <col min="7938" max="7938" width="25.85546875" style="432" customWidth="1"/>
    <col min="7939" max="7939" width="10.140625" style="432" customWidth="1"/>
    <col min="7940" max="7940" width="20.7109375" style="432" customWidth="1"/>
    <col min="7941" max="7941" width="14" style="432" customWidth="1"/>
    <col min="7942" max="7942" width="22.42578125" style="432" customWidth="1"/>
    <col min="7943" max="7943" width="18.42578125" style="432" customWidth="1"/>
    <col min="7944" max="7944" width="20.140625" style="432" customWidth="1"/>
    <col min="7945" max="7945" width="11.85546875" style="432" customWidth="1"/>
    <col min="7946" max="7946" width="12.7109375" style="432" customWidth="1"/>
    <col min="7947" max="7947" width="9.140625" style="432"/>
    <col min="7948" max="7948" width="19.5703125" style="432" bestFit="1" customWidth="1"/>
    <col min="7949" max="8192" width="9.140625" style="432"/>
    <col min="8193" max="8193" width="8.7109375" style="432" customWidth="1"/>
    <col min="8194" max="8194" width="25.85546875" style="432" customWidth="1"/>
    <col min="8195" max="8195" width="10.140625" style="432" customWidth="1"/>
    <col min="8196" max="8196" width="20.7109375" style="432" customWidth="1"/>
    <col min="8197" max="8197" width="14" style="432" customWidth="1"/>
    <col min="8198" max="8198" width="22.42578125" style="432" customWidth="1"/>
    <col min="8199" max="8199" width="18.42578125" style="432" customWidth="1"/>
    <col min="8200" max="8200" width="20.140625" style="432" customWidth="1"/>
    <col min="8201" max="8201" width="11.85546875" style="432" customWidth="1"/>
    <col min="8202" max="8202" width="12.7109375" style="432" customWidth="1"/>
    <col min="8203" max="8203" width="9.140625" style="432"/>
    <col min="8204" max="8204" width="19.5703125" style="432" bestFit="1" customWidth="1"/>
    <col min="8205" max="8448" width="9.140625" style="432"/>
    <col min="8449" max="8449" width="8.7109375" style="432" customWidth="1"/>
    <col min="8450" max="8450" width="25.85546875" style="432" customWidth="1"/>
    <col min="8451" max="8451" width="10.140625" style="432" customWidth="1"/>
    <col min="8452" max="8452" width="20.7109375" style="432" customWidth="1"/>
    <col min="8453" max="8453" width="14" style="432" customWidth="1"/>
    <col min="8454" max="8454" width="22.42578125" style="432" customWidth="1"/>
    <col min="8455" max="8455" width="18.42578125" style="432" customWidth="1"/>
    <col min="8456" max="8456" width="20.140625" style="432" customWidth="1"/>
    <col min="8457" max="8457" width="11.85546875" style="432" customWidth="1"/>
    <col min="8458" max="8458" width="12.7109375" style="432" customWidth="1"/>
    <col min="8459" max="8459" width="9.140625" style="432"/>
    <col min="8460" max="8460" width="19.5703125" style="432" bestFit="1" customWidth="1"/>
    <col min="8461" max="8704" width="9.140625" style="432"/>
    <col min="8705" max="8705" width="8.7109375" style="432" customWidth="1"/>
    <col min="8706" max="8706" width="25.85546875" style="432" customWidth="1"/>
    <col min="8707" max="8707" width="10.140625" style="432" customWidth="1"/>
    <col min="8708" max="8708" width="20.7109375" style="432" customWidth="1"/>
    <col min="8709" max="8709" width="14" style="432" customWidth="1"/>
    <col min="8710" max="8710" width="22.42578125" style="432" customWidth="1"/>
    <col min="8711" max="8711" width="18.42578125" style="432" customWidth="1"/>
    <col min="8712" max="8712" width="20.140625" style="432" customWidth="1"/>
    <col min="8713" max="8713" width="11.85546875" style="432" customWidth="1"/>
    <col min="8714" max="8714" width="12.7109375" style="432" customWidth="1"/>
    <col min="8715" max="8715" width="9.140625" style="432"/>
    <col min="8716" max="8716" width="19.5703125" style="432" bestFit="1" customWidth="1"/>
    <col min="8717" max="8960" width="9.140625" style="432"/>
    <col min="8961" max="8961" width="8.7109375" style="432" customWidth="1"/>
    <col min="8962" max="8962" width="25.85546875" style="432" customWidth="1"/>
    <col min="8963" max="8963" width="10.140625" style="432" customWidth="1"/>
    <col min="8964" max="8964" width="20.7109375" style="432" customWidth="1"/>
    <col min="8965" max="8965" width="14" style="432" customWidth="1"/>
    <col min="8966" max="8966" width="22.42578125" style="432" customWidth="1"/>
    <col min="8967" max="8967" width="18.42578125" style="432" customWidth="1"/>
    <col min="8968" max="8968" width="20.140625" style="432" customWidth="1"/>
    <col min="8969" max="8969" width="11.85546875" style="432" customWidth="1"/>
    <col min="8970" max="8970" width="12.7109375" style="432" customWidth="1"/>
    <col min="8971" max="8971" width="9.140625" style="432"/>
    <col min="8972" max="8972" width="19.5703125" style="432" bestFit="1" customWidth="1"/>
    <col min="8973" max="9216" width="9.140625" style="432"/>
    <col min="9217" max="9217" width="8.7109375" style="432" customWidth="1"/>
    <col min="9218" max="9218" width="25.85546875" style="432" customWidth="1"/>
    <col min="9219" max="9219" width="10.140625" style="432" customWidth="1"/>
    <col min="9220" max="9220" width="20.7109375" style="432" customWidth="1"/>
    <col min="9221" max="9221" width="14" style="432" customWidth="1"/>
    <col min="9222" max="9222" width="22.42578125" style="432" customWidth="1"/>
    <col min="9223" max="9223" width="18.42578125" style="432" customWidth="1"/>
    <col min="9224" max="9224" width="20.140625" style="432" customWidth="1"/>
    <col min="9225" max="9225" width="11.85546875" style="432" customWidth="1"/>
    <col min="9226" max="9226" width="12.7109375" style="432" customWidth="1"/>
    <col min="9227" max="9227" width="9.140625" style="432"/>
    <col min="9228" max="9228" width="19.5703125" style="432" bestFit="1" customWidth="1"/>
    <col min="9229" max="9472" width="9.140625" style="432"/>
    <col min="9473" max="9473" width="8.7109375" style="432" customWidth="1"/>
    <col min="9474" max="9474" width="25.85546875" style="432" customWidth="1"/>
    <col min="9475" max="9475" width="10.140625" style="432" customWidth="1"/>
    <col min="9476" max="9476" width="20.7109375" style="432" customWidth="1"/>
    <col min="9477" max="9477" width="14" style="432" customWidth="1"/>
    <col min="9478" max="9478" width="22.42578125" style="432" customWidth="1"/>
    <col min="9479" max="9479" width="18.42578125" style="432" customWidth="1"/>
    <col min="9480" max="9480" width="20.140625" style="432" customWidth="1"/>
    <col min="9481" max="9481" width="11.85546875" style="432" customWidth="1"/>
    <col min="9482" max="9482" width="12.7109375" style="432" customWidth="1"/>
    <col min="9483" max="9483" width="9.140625" style="432"/>
    <col min="9484" max="9484" width="19.5703125" style="432" bestFit="1" customWidth="1"/>
    <col min="9485" max="9728" width="9.140625" style="432"/>
    <col min="9729" max="9729" width="8.7109375" style="432" customWidth="1"/>
    <col min="9730" max="9730" width="25.85546875" style="432" customWidth="1"/>
    <col min="9731" max="9731" width="10.140625" style="432" customWidth="1"/>
    <col min="9732" max="9732" width="20.7109375" style="432" customWidth="1"/>
    <col min="9733" max="9733" width="14" style="432" customWidth="1"/>
    <col min="9734" max="9734" width="22.42578125" style="432" customWidth="1"/>
    <col min="9735" max="9735" width="18.42578125" style="432" customWidth="1"/>
    <col min="9736" max="9736" width="20.140625" style="432" customWidth="1"/>
    <col min="9737" max="9737" width="11.85546875" style="432" customWidth="1"/>
    <col min="9738" max="9738" width="12.7109375" style="432" customWidth="1"/>
    <col min="9739" max="9739" width="9.140625" style="432"/>
    <col min="9740" max="9740" width="19.5703125" style="432" bestFit="1" customWidth="1"/>
    <col min="9741" max="9984" width="9.140625" style="432"/>
    <col min="9985" max="9985" width="8.7109375" style="432" customWidth="1"/>
    <col min="9986" max="9986" width="25.85546875" style="432" customWidth="1"/>
    <col min="9987" max="9987" width="10.140625" style="432" customWidth="1"/>
    <col min="9988" max="9988" width="20.7109375" style="432" customWidth="1"/>
    <col min="9989" max="9989" width="14" style="432" customWidth="1"/>
    <col min="9990" max="9990" width="22.42578125" style="432" customWidth="1"/>
    <col min="9991" max="9991" width="18.42578125" style="432" customWidth="1"/>
    <col min="9992" max="9992" width="20.140625" style="432" customWidth="1"/>
    <col min="9993" max="9993" width="11.85546875" style="432" customWidth="1"/>
    <col min="9994" max="9994" width="12.7109375" style="432" customWidth="1"/>
    <col min="9995" max="9995" width="9.140625" style="432"/>
    <col min="9996" max="9996" width="19.5703125" style="432" bestFit="1" customWidth="1"/>
    <col min="9997" max="10240" width="9.140625" style="432"/>
    <col min="10241" max="10241" width="8.7109375" style="432" customWidth="1"/>
    <col min="10242" max="10242" width="25.85546875" style="432" customWidth="1"/>
    <col min="10243" max="10243" width="10.140625" style="432" customWidth="1"/>
    <col min="10244" max="10244" width="20.7109375" style="432" customWidth="1"/>
    <col min="10245" max="10245" width="14" style="432" customWidth="1"/>
    <col min="10246" max="10246" width="22.42578125" style="432" customWidth="1"/>
    <col min="10247" max="10247" width="18.42578125" style="432" customWidth="1"/>
    <col min="10248" max="10248" width="20.140625" style="432" customWidth="1"/>
    <col min="10249" max="10249" width="11.85546875" style="432" customWidth="1"/>
    <col min="10250" max="10250" width="12.7109375" style="432" customWidth="1"/>
    <col min="10251" max="10251" width="9.140625" style="432"/>
    <col min="10252" max="10252" width="19.5703125" style="432" bestFit="1" customWidth="1"/>
    <col min="10253" max="10496" width="9.140625" style="432"/>
    <col min="10497" max="10497" width="8.7109375" style="432" customWidth="1"/>
    <col min="10498" max="10498" width="25.85546875" style="432" customWidth="1"/>
    <col min="10499" max="10499" width="10.140625" style="432" customWidth="1"/>
    <col min="10500" max="10500" width="20.7109375" style="432" customWidth="1"/>
    <col min="10501" max="10501" width="14" style="432" customWidth="1"/>
    <col min="10502" max="10502" width="22.42578125" style="432" customWidth="1"/>
    <col min="10503" max="10503" width="18.42578125" style="432" customWidth="1"/>
    <col min="10504" max="10504" width="20.140625" style="432" customWidth="1"/>
    <col min="10505" max="10505" width="11.85546875" style="432" customWidth="1"/>
    <col min="10506" max="10506" width="12.7109375" style="432" customWidth="1"/>
    <col min="10507" max="10507" width="9.140625" style="432"/>
    <col min="10508" max="10508" width="19.5703125" style="432" bestFit="1" customWidth="1"/>
    <col min="10509" max="10752" width="9.140625" style="432"/>
    <col min="10753" max="10753" width="8.7109375" style="432" customWidth="1"/>
    <col min="10754" max="10754" width="25.85546875" style="432" customWidth="1"/>
    <col min="10755" max="10755" width="10.140625" style="432" customWidth="1"/>
    <col min="10756" max="10756" width="20.7109375" style="432" customWidth="1"/>
    <col min="10757" max="10757" width="14" style="432" customWidth="1"/>
    <col min="10758" max="10758" width="22.42578125" style="432" customWidth="1"/>
    <col min="10759" max="10759" width="18.42578125" style="432" customWidth="1"/>
    <col min="10760" max="10760" width="20.140625" style="432" customWidth="1"/>
    <col min="10761" max="10761" width="11.85546875" style="432" customWidth="1"/>
    <col min="10762" max="10762" width="12.7109375" style="432" customWidth="1"/>
    <col min="10763" max="10763" width="9.140625" style="432"/>
    <col min="10764" max="10764" width="19.5703125" style="432" bestFit="1" customWidth="1"/>
    <col min="10765" max="11008" width="9.140625" style="432"/>
    <col min="11009" max="11009" width="8.7109375" style="432" customWidth="1"/>
    <col min="11010" max="11010" width="25.85546875" style="432" customWidth="1"/>
    <col min="11011" max="11011" width="10.140625" style="432" customWidth="1"/>
    <col min="11012" max="11012" width="20.7109375" style="432" customWidth="1"/>
    <col min="11013" max="11013" width="14" style="432" customWidth="1"/>
    <col min="11014" max="11014" width="22.42578125" style="432" customWidth="1"/>
    <col min="11015" max="11015" width="18.42578125" style="432" customWidth="1"/>
    <col min="11016" max="11016" width="20.140625" style="432" customWidth="1"/>
    <col min="11017" max="11017" width="11.85546875" style="432" customWidth="1"/>
    <col min="11018" max="11018" width="12.7109375" style="432" customWidth="1"/>
    <col min="11019" max="11019" width="9.140625" style="432"/>
    <col min="11020" max="11020" width="19.5703125" style="432" bestFit="1" customWidth="1"/>
    <col min="11021" max="11264" width="9.140625" style="432"/>
    <col min="11265" max="11265" width="8.7109375" style="432" customWidth="1"/>
    <col min="11266" max="11266" width="25.85546875" style="432" customWidth="1"/>
    <col min="11267" max="11267" width="10.140625" style="432" customWidth="1"/>
    <col min="11268" max="11268" width="20.7109375" style="432" customWidth="1"/>
    <col min="11269" max="11269" width="14" style="432" customWidth="1"/>
    <col min="11270" max="11270" width="22.42578125" style="432" customWidth="1"/>
    <col min="11271" max="11271" width="18.42578125" style="432" customWidth="1"/>
    <col min="11272" max="11272" width="20.140625" style="432" customWidth="1"/>
    <col min="11273" max="11273" width="11.85546875" style="432" customWidth="1"/>
    <col min="11274" max="11274" width="12.7109375" style="432" customWidth="1"/>
    <col min="11275" max="11275" width="9.140625" style="432"/>
    <col min="11276" max="11276" width="19.5703125" style="432" bestFit="1" customWidth="1"/>
    <col min="11277" max="11520" width="9.140625" style="432"/>
    <col min="11521" max="11521" width="8.7109375" style="432" customWidth="1"/>
    <col min="11522" max="11522" width="25.85546875" style="432" customWidth="1"/>
    <col min="11523" max="11523" width="10.140625" style="432" customWidth="1"/>
    <col min="11524" max="11524" width="20.7109375" style="432" customWidth="1"/>
    <col min="11525" max="11525" width="14" style="432" customWidth="1"/>
    <col min="11526" max="11526" width="22.42578125" style="432" customWidth="1"/>
    <col min="11527" max="11527" width="18.42578125" style="432" customWidth="1"/>
    <col min="11528" max="11528" width="20.140625" style="432" customWidth="1"/>
    <col min="11529" max="11529" width="11.85546875" style="432" customWidth="1"/>
    <col min="11530" max="11530" width="12.7109375" style="432" customWidth="1"/>
    <col min="11531" max="11531" width="9.140625" style="432"/>
    <col min="11532" max="11532" width="19.5703125" style="432" bestFit="1" customWidth="1"/>
    <col min="11533" max="11776" width="9.140625" style="432"/>
    <col min="11777" max="11777" width="8.7109375" style="432" customWidth="1"/>
    <col min="11778" max="11778" width="25.85546875" style="432" customWidth="1"/>
    <col min="11779" max="11779" width="10.140625" style="432" customWidth="1"/>
    <col min="11780" max="11780" width="20.7109375" style="432" customWidth="1"/>
    <col min="11781" max="11781" width="14" style="432" customWidth="1"/>
    <col min="11782" max="11782" width="22.42578125" style="432" customWidth="1"/>
    <col min="11783" max="11783" width="18.42578125" style="432" customWidth="1"/>
    <col min="11784" max="11784" width="20.140625" style="432" customWidth="1"/>
    <col min="11785" max="11785" width="11.85546875" style="432" customWidth="1"/>
    <col min="11786" max="11786" width="12.7109375" style="432" customWidth="1"/>
    <col min="11787" max="11787" width="9.140625" style="432"/>
    <col min="11788" max="11788" width="19.5703125" style="432" bestFit="1" customWidth="1"/>
    <col min="11789" max="12032" width="9.140625" style="432"/>
    <col min="12033" max="12033" width="8.7109375" style="432" customWidth="1"/>
    <col min="12034" max="12034" width="25.85546875" style="432" customWidth="1"/>
    <col min="12035" max="12035" width="10.140625" style="432" customWidth="1"/>
    <col min="12036" max="12036" width="20.7109375" style="432" customWidth="1"/>
    <col min="12037" max="12037" width="14" style="432" customWidth="1"/>
    <col min="12038" max="12038" width="22.42578125" style="432" customWidth="1"/>
    <col min="12039" max="12039" width="18.42578125" style="432" customWidth="1"/>
    <col min="12040" max="12040" width="20.140625" style="432" customWidth="1"/>
    <col min="12041" max="12041" width="11.85546875" style="432" customWidth="1"/>
    <col min="12042" max="12042" width="12.7109375" style="432" customWidth="1"/>
    <col min="12043" max="12043" width="9.140625" style="432"/>
    <col min="12044" max="12044" width="19.5703125" style="432" bestFit="1" customWidth="1"/>
    <col min="12045" max="12288" width="9.140625" style="432"/>
    <col min="12289" max="12289" width="8.7109375" style="432" customWidth="1"/>
    <col min="12290" max="12290" width="25.85546875" style="432" customWidth="1"/>
    <col min="12291" max="12291" width="10.140625" style="432" customWidth="1"/>
    <col min="12292" max="12292" width="20.7109375" style="432" customWidth="1"/>
    <col min="12293" max="12293" width="14" style="432" customWidth="1"/>
    <col min="12294" max="12294" width="22.42578125" style="432" customWidth="1"/>
    <col min="12295" max="12295" width="18.42578125" style="432" customWidth="1"/>
    <col min="12296" max="12296" width="20.140625" style="432" customWidth="1"/>
    <col min="12297" max="12297" width="11.85546875" style="432" customWidth="1"/>
    <col min="12298" max="12298" width="12.7109375" style="432" customWidth="1"/>
    <col min="12299" max="12299" width="9.140625" style="432"/>
    <col min="12300" max="12300" width="19.5703125" style="432" bestFit="1" customWidth="1"/>
    <col min="12301" max="12544" width="9.140625" style="432"/>
    <col min="12545" max="12545" width="8.7109375" style="432" customWidth="1"/>
    <col min="12546" max="12546" width="25.85546875" style="432" customWidth="1"/>
    <col min="12547" max="12547" width="10.140625" style="432" customWidth="1"/>
    <col min="12548" max="12548" width="20.7109375" style="432" customWidth="1"/>
    <col min="12549" max="12549" width="14" style="432" customWidth="1"/>
    <col min="12550" max="12550" width="22.42578125" style="432" customWidth="1"/>
    <col min="12551" max="12551" width="18.42578125" style="432" customWidth="1"/>
    <col min="12552" max="12552" width="20.140625" style="432" customWidth="1"/>
    <col min="12553" max="12553" width="11.85546875" style="432" customWidth="1"/>
    <col min="12554" max="12554" width="12.7109375" style="432" customWidth="1"/>
    <col min="12555" max="12555" width="9.140625" style="432"/>
    <col min="12556" max="12556" width="19.5703125" style="432" bestFit="1" customWidth="1"/>
    <col min="12557" max="12800" width="9.140625" style="432"/>
    <col min="12801" max="12801" width="8.7109375" style="432" customWidth="1"/>
    <col min="12802" max="12802" width="25.85546875" style="432" customWidth="1"/>
    <col min="12803" max="12803" width="10.140625" style="432" customWidth="1"/>
    <col min="12804" max="12804" width="20.7109375" style="432" customWidth="1"/>
    <col min="12805" max="12805" width="14" style="432" customWidth="1"/>
    <col min="12806" max="12806" width="22.42578125" style="432" customWidth="1"/>
    <col min="12807" max="12807" width="18.42578125" style="432" customWidth="1"/>
    <col min="12808" max="12808" width="20.140625" style="432" customWidth="1"/>
    <col min="12809" max="12809" width="11.85546875" style="432" customWidth="1"/>
    <col min="12810" max="12810" width="12.7109375" style="432" customWidth="1"/>
    <col min="12811" max="12811" width="9.140625" style="432"/>
    <col min="12812" max="12812" width="19.5703125" style="432" bestFit="1" customWidth="1"/>
    <col min="12813" max="13056" width="9.140625" style="432"/>
    <col min="13057" max="13057" width="8.7109375" style="432" customWidth="1"/>
    <col min="13058" max="13058" width="25.85546875" style="432" customWidth="1"/>
    <col min="13059" max="13059" width="10.140625" style="432" customWidth="1"/>
    <col min="13060" max="13060" width="20.7109375" style="432" customWidth="1"/>
    <col min="13061" max="13061" width="14" style="432" customWidth="1"/>
    <col min="13062" max="13062" width="22.42578125" style="432" customWidth="1"/>
    <col min="13063" max="13063" width="18.42578125" style="432" customWidth="1"/>
    <col min="13064" max="13064" width="20.140625" style="432" customWidth="1"/>
    <col min="13065" max="13065" width="11.85546875" style="432" customWidth="1"/>
    <col min="13066" max="13066" width="12.7109375" style="432" customWidth="1"/>
    <col min="13067" max="13067" width="9.140625" style="432"/>
    <col min="13068" max="13068" width="19.5703125" style="432" bestFit="1" customWidth="1"/>
    <col min="13069" max="13312" width="9.140625" style="432"/>
    <col min="13313" max="13313" width="8.7109375" style="432" customWidth="1"/>
    <col min="13314" max="13314" width="25.85546875" style="432" customWidth="1"/>
    <col min="13315" max="13315" width="10.140625" style="432" customWidth="1"/>
    <col min="13316" max="13316" width="20.7109375" style="432" customWidth="1"/>
    <col min="13317" max="13317" width="14" style="432" customWidth="1"/>
    <col min="13318" max="13318" width="22.42578125" style="432" customWidth="1"/>
    <col min="13319" max="13319" width="18.42578125" style="432" customWidth="1"/>
    <col min="13320" max="13320" width="20.140625" style="432" customWidth="1"/>
    <col min="13321" max="13321" width="11.85546875" style="432" customWidth="1"/>
    <col min="13322" max="13322" width="12.7109375" style="432" customWidth="1"/>
    <col min="13323" max="13323" width="9.140625" style="432"/>
    <col min="13324" max="13324" width="19.5703125" style="432" bestFit="1" customWidth="1"/>
    <col min="13325" max="13568" width="9.140625" style="432"/>
    <col min="13569" max="13569" width="8.7109375" style="432" customWidth="1"/>
    <col min="13570" max="13570" width="25.85546875" style="432" customWidth="1"/>
    <col min="13571" max="13571" width="10.140625" style="432" customWidth="1"/>
    <col min="13572" max="13572" width="20.7109375" style="432" customWidth="1"/>
    <col min="13573" max="13573" width="14" style="432" customWidth="1"/>
    <col min="13574" max="13574" width="22.42578125" style="432" customWidth="1"/>
    <col min="13575" max="13575" width="18.42578125" style="432" customWidth="1"/>
    <col min="13576" max="13576" width="20.140625" style="432" customWidth="1"/>
    <col min="13577" max="13577" width="11.85546875" style="432" customWidth="1"/>
    <col min="13578" max="13578" width="12.7109375" style="432" customWidth="1"/>
    <col min="13579" max="13579" width="9.140625" style="432"/>
    <col min="13580" max="13580" width="19.5703125" style="432" bestFit="1" customWidth="1"/>
    <col min="13581" max="13824" width="9.140625" style="432"/>
    <col min="13825" max="13825" width="8.7109375" style="432" customWidth="1"/>
    <col min="13826" max="13826" width="25.85546875" style="432" customWidth="1"/>
    <col min="13827" max="13827" width="10.140625" style="432" customWidth="1"/>
    <col min="13828" max="13828" width="20.7109375" style="432" customWidth="1"/>
    <col min="13829" max="13829" width="14" style="432" customWidth="1"/>
    <col min="13830" max="13830" width="22.42578125" style="432" customWidth="1"/>
    <col min="13831" max="13831" width="18.42578125" style="432" customWidth="1"/>
    <col min="13832" max="13832" width="20.140625" style="432" customWidth="1"/>
    <col min="13833" max="13833" width="11.85546875" style="432" customWidth="1"/>
    <col min="13834" max="13834" width="12.7109375" style="432" customWidth="1"/>
    <col min="13835" max="13835" width="9.140625" style="432"/>
    <col min="13836" max="13836" width="19.5703125" style="432" bestFit="1" customWidth="1"/>
    <col min="13837" max="14080" width="9.140625" style="432"/>
    <col min="14081" max="14081" width="8.7109375" style="432" customWidth="1"/>
    <col min="14082" max="14082" width="25.85546875" style="432" customWidth="1"/>
    <col min="14083" max="14083" width="10.140625" style="432" customWidth="1"/>
    <col min="14084" max="14084" width="20.7109375" style="432" customWidth="1"/>
    <col min="14085" max="14085" width="14" style="432" customWidth="1"/>
    <col min="14086" max="14086" width="22.42578125" style="432" customWidth="1"/>
    <col min="14087" max="14087" width="18.42578125" style="432" customWidth="1"/>
    <col min="14088" max="14088" width="20.140625" style="432" customWidth="1"/>
    <col min="14089" max="14089" width="11.85546875" style="432" customWidth="1"/>
    <col min="14090" max="14090" width="12.7109375" style="432" customWidth="1"/>
    <col min="14091" max="14091" width="9.140625" style="432"/>
    <col min="14092" max="14092" width="19.5703125" style="432" bestFit="1" customWidth="1"/>
    <col min="14093" max="14336" width="9.140625" style="432"/>
    <col min="14337" max="14337" width="8.7109375" style="432" customWidth="1"/>
    <col min="14338" max="14338" width="25.85546875" style="432" customWidth="1"/>
    <col min="14339" max="14339" width="10.140625" style="432" customWidth="1"/>
    <col min="14340" max="14340" width="20.7109375" style="432" customWidth="1"/>
    <col min="14341" max="14341" width="14" style="432" customWidth="1"/>
    <col min="14342" max="14342" width="22.42578125" style="432" customWidth="1"/>
    <col min="14343" max="14343" width="18.42578125" style="432" customWidth="1"/>
    <col min="14344" max="14344" width="20.140625" style="432" customWidth="1"/>
    <col min="14345" max="14345" width="11.85546875" style="432" customWidth="1"/>
    <col min="14346" max="14346" width="12.7109375" style="432" customWidth="1"/>
    <col min="14347" max="14347" width="9.140625" style="432"/>
    <col min="14348" max="14348" width="19.5703125" style="432" bestFit="1" customWidth="1"/>
    <col min="14349" max="14592" width="9.140625" style="432"/>
    <col min="14593" max="14593" width="8.7109375" style="432" customWidth="1"/>
    <col min="14594" max="14594" width="25.85546875" style="432" customWidth="1"/>
    <col min="14595" max="14595" width="10.140625" style="432" customWidth="1"/>
    <col min="14596" max="14596" width="20.7109375" style="432" customWidth="1"/>
    <col min="14597" max="14597" width="14" style="432" customWidth="1"/>
    <col min="14598" max="14598" width="22.42578125" style="432" customWidth="1"/>
    <col min="14599" max="14599" width="18.42578125" style="432" customWidth="1"/>
    <col min="14600" max="14600" width="20.140625" style="432" customWidth="1"/>
    <col min="14601" max="14601" width="11.85546875" style="432" customWidth="1"/>
    <col min="14602" max="14602" width="12.7109375" style="432" customWidth="1"/>
    <col min="14603" max="14603" width="9.140625" style="432"/>
    <col min="14604" max="14604" width="19.5703125" style="432" bestFit="1" customWidth="1"/>
    <col min="14605" max="14848" width="9.140625" style="432"/>
    <col min="14849" max="14849" width="8.7109375" style="432" customWidth="1"/>
    <col min="14850" max="14850" width="25.85546875" style="432" customWidth="1"/>
    <col min="14851" max="14851" width="10.140625" style="432" customWidth="1"/>
    <col min="14852" max="14852" width="20.7109375" style="432" customWidth="1"/>
    <col min="14853" max="14853" width="14" style="432" customWidth="1"/>
    <col min="14854" max="14854" width="22.42578125" style="432" customWidth="1"/>
    <col min="14855" max="14855" width="18.42578125" style="432" customWidth="1"/>
    <col min="14856" max="14856" width="20.140625" style="432" customWidth="1"/>
    <col min="14857" max="14857" width="11.85546875" style="432" customWidth="1"/>
    <col min="14858" max="14858" width="12.7109375" style="432" customWidth="1"/>
    <col min="14859" max="14859" width="9.140625" style="432"/>
    <col min="14860" max="14860" width="19.5703125" style="432" bestFit="1" customWidth="1"/>
    <col min="14861" max="15104" width="9.140625" style="432"/>
    <col min="15105" max="15105" width="8.7109375" style="432" customWidth="1"/>
    <col min="15106" max="15106" width="25.85546875" style="432" customWidth="1"/>
    <col min="15107" max="15107" width="10.140625" style="432" customWidth="1"/>
    <col min="15108" max="15108" width="20.7109375" style="432" customWidth="1"/>
    <col min="15109" max="15109" width="14" style="432" customWidth="1"/>
    <col min="15110" max="15110" width="22.42578125" style="432" customWidth="1"/>
    <col min="15111" max="15111" width="18.42578125" style="432" customWidth="1"/>
    <col min="15112" max="15112" width="20.140625" style="432" customWidth="1"/>
    <col min="15113" max="15113" width="11.85546875" style="432" customWidth="1"/>
    <col min="15114" max="15114" width="12.7109375" style="432" customWidth="1"/>
    <col min="15115" max="15115" width="9.140625" style="432"/>
    <col min="15116" max="15116" width="19.5703125" style="432" bestFit="1" customWidth="1"/>
    <col min="15117" max="15360" width="9.140625" style="432"/>
    <col min="15361" max="15361" width="8.7109375" style="432" customWidth="1"/>
    <col min="15362" max="15362" width="25.85546875" style="432" customWidth="1"/>
    <col min="15363" max="15363" width="10.140625" style="432" customWidth="1"/>
    <col min="15364" max="15364" width="20.7109375" style="432" customWidth="1"/>
    <col min="15365" max="15365" width="14" style="432" customWidth="1"/>
    <col min="15366" max="15366" width="22.42578125" style="432" customWidth="1"/>
    <col min="15367" max="15367" width="18.42578125" style="432" customWidth="1"/>
    <col min="15368" max="15368" width="20.140625" style="432" customWidth="1"/>
    <col min="15369" max="15369" width="11.85546875" style="432" customWidth="1"/>
    <col min="15370" max="15370" width="12.7109375" style="432" customWidth="1"/>
    <col min="15371" max="15371" width="9.140625" style="432"/>
    <col min="15372" max="15372" width="19.5703125" style="432" bestFit="1" customWidth="1"/>
    <col min="15373" max="15616" width="9.140625" style="432"/>
    <col min="15617" max="15617" width="8.7109375" style="432" customWidth="1"/>
    <col min="15618" max="15618" width="25.85546875" style="432" customWidth="1"/>
    <col min="15619" max="15619" width="10.140625" style="432" customWidth="1"/>
    <col min="15620" max="15620" width="20.7109375" style="432" customWidth="1"/>
    <col min="15621" max="15621" width="14" style="432" customWidth="1"/>
    <col min="15622" max="15622" width="22.42578125" style="432" customWidth="1"/>
    <col min="15623" max="15623" width="18.42578125" style="432" customWidth="1"/>
    <col min="15624" max="15624" width="20.140625" style="432" customWidth="1"/>
    <col min="15625" max="15625" width="11.85546875" style="432" customWidth="1"/>
    <col min="15626" max="15626" width="12.7109375" style="432" customWidth="1"/>
    <col min="15627" max="15627" width="9.140625" style="432"/>
    <col min="15628" max="15628" width="19.5703125" style="432" bestFit="1" customWidth="1"/>
    <col min="15629" max="15872" width="9.140625" style="432"/>
    <col min="15873" max="15873" width="8.7109375" style="432" customWidth="1"/>
    <col min="15874" max="15874" width="25.85546875" style="432" customWidth="1"/>
    <col min="15875" max="15875" width="10.140625" style="432" customWidth="1"/>
    <col min="15876" max="15876" width="20.7109375" style="432" customWidth="1"/>
    <col min="15877" max="15877" width="14" style="432" customWidth="1"/>
    <col min="15878" max="15878" width="22.42578125" style="432" customWidth="1"/>
    <col min="15879" max="15879" width="18.42578125" style="432" customWidth="1"/>
    <col min="15880" max="15880" width="20.140625" style="432" customWidth="1"/>
    <col min="15881" max="15881" width="11.85546875" style="432" customWidth="1"/>
    <col min="15882" max="15882" width="12.7109375" style="432" customWidth="1"/>
    <col min="15883" max="15883" width="9.140625" style="432"/>
    <col min="15884" max="15884" width="19.5703125" style="432" bestFit="1" customWidth="1"/>
    <col min="15885" max="16128" width="9.140625" style="432"/>
    <col min="16129" max="16129" width="8.7109375" style="432" customWidth="1"/>
    <col min="16130" max="16130" width="25.85546875" style="432" customWidth="1"/>
    <col min="16131" max="16131" width="10.140625" style="432" customWidth="1"/>
    <col min="16132" max="16132" width="20.7109375" style="432" customWidth="1"/>
    <col min="16133" max="16133" width="14" style="432" customWidth="1"/>
    <col min="16134" max="16134" width="22.42578125" style="432" customWidth="1"/>
    <col min="16135" max="16135" width="18.42578125" style="432" customWidth="1"/>
    <col min="16136" max="16136" width="20.140625" style="432" customWidth="1"/>
    <col min="16137" max="16137" width="11.85546875" style="432" customWidth="1"/>
    <col min="16138" max="16138" width="12.7109375" style="432" customWidth="1"/>
    <col min="16139" max="16139" width="9.140625" style="432"/>
    <col min="16140" max="16140" width="19.5703125" style="432" bestFit="1" customWidth="1"/>
    <col min="16141" max="16384" width="9.140625" style="432"/>
  </cols>
  <sheetData>
    <row r="1" spans="1:12" ht="20.25">
      <c r="A1" s="413" t="s">
        <v>1273</v>
      </c>
      <c r="B1" s="414"/>
      <c r="C1" s="414"/>
      <c r="D1" s="415"/>
      <c r="E1" s="415"/>
      <c r="F1" s="416"/>
      <c r="G1" s="416"/>
      <c r="H1" s="416"/>
    </row>
    <row r="2" spans="1:12" ht="20.25">
      <c r="A2" s="417" t="str">
        <f>'[2]SOP-015 HLY'!A2</f>
        <v>Quarter : 4 th  (i.e  JAN '21 TO MARCH '21)</v>
      </c>
      <c r="B2" s="418"/>
      <c r="C2" s="414"/>
      <c r="D2" s="415"/>
      <c r="E2" s="415"/>
      <c r="F2" s="416"/>
      <c r="G2" s="416"/>
      <c r="H2" s="416"/>
    </row>
    <row r="3" spans="1:12" ht="20.25">
      <c r="A3" s="419" t="str">
        <f>'[2]SOP-015 HLY'!A3</f>
        <v>Year :2020-21</v>
      </c>
      <c r="B3" s="420"/>
      <c r="C3" s="414"/>
      <c r="D3" s="415"/>
      <c r="E3" s="415"/>
      <c r="F3" s="416"/>
      <c r="G3" s="416"/>
      <c r="H3" s="416"/>
    </row>
    <row r="4" spans="1:12" ht="20.25">
      <c r="A4" s="413" t="s">
        <v>1274</v>
      </c>
      <c r="B4" s="414"/>
      <c r="C4" s="414"/>
      <c r="D4" s="415"/>
      <c r="E4" s="415"/>
      <c r="F4" s="416"/>
      <c r="G4" s="416"/>
      <c r="H4" s="416"/>
    </row>
    <row r="5" spans="1:12" ht="20.25">
      <c r="A5" s="413" t="s">
        <v>1275</v>
      </c>
      <c r="B5" s="421"/>
      <c r="C5" s="421"/>
      <c r="D5" s="416"/>
      <c r="E5" s="416"/>
      <c r="F5" s="416"/>
      <c r="G5" s="416"/>
      <c r="H5" s="416"/>
    </row>
    <row r="6" spans="1:12" ht="20.25">
      <c r="A6" s="413" t="s">
        <v>1276</v>
      </c>
      <c r="B6" s="421"/>
      <c r="C6" s="421"/>
      <c r="D6" s="416"/>
      <c r="E6" s="416"/>
      <c r="F6" s="416"/>
      <c r="G6" s="416"/>
      <c r="H6" s="416"/>
      <c r="L6" s="429"/>
    </row>
    <row r="7" spans="1:12" ht="36" customHeight="1">
      <c r="A7" s="517" t="s">
        <v>1277</v>
      </c>
      <c r="B7" s="518"/>
      <c r="C7" s="518"/>
      <c r="D7" s="518"/>
      <c r="E7" s="518"/>
      <c r="F7" s="518"/>
      <c r="G7" s="518"/>
      <c r="H7" s="518"/>
    </row>
    <row r="8" spans="1:12" ht="84.75" customHeight="1">
      <c r="A8" s="422" t="s">
        <v>6</v>
      </c>
      <c r="B8" s="423" t="s">
        <v>1278</v>
      </c>
      <c r="C8" s="424"/>
      <c r="D8" s="424" t="s">
        <v>1279</v>
      </c>
      <c r="E8" s="424" t="s">
        <v>1280</v>
      </c>
      <c r="F8" s="424" t="s">
        <v>1281</v>
      </c>
      <c r="G8" s="424"/>
      <c r="H8" s="424"/>
    </row>
    <row r="9" spans="1:12" ht="20.25">
      <c r="A9" s="425"/>
      <c r="B9" s="425" t="s">
        <v>1282</v>
      </c>
      <c r="C9" s="426" t="s">
        <v>1283</v>
      </c>
      <c r="D9" s="427" t="s">
        <v>1284</v>
      </c>
      <c r="E9" s="426">
        <v>75288</v>
      </c>
      <c r="F9" s="426">
        <v>23903</v>
      </c>
      <c r="G9" s="426"/>
      <c r="H9" s="426"/>
    </row>
    <row r="10" spans="1:12" ht="20.25">
      <c r="A10" s="425"/>
      <c r="B10" s="425" t="s">
        <v>1285</v>
      </c>
      <c r="C10" s="426" t="s">
        <v>1283</v>
      </c>
      <c r="D10" s="427" t="s">
        <v>1286</v>
      </c>
      <c r="E10" s="426">
        <v>18305</v>
      </c>
      <c r="F10" s="426">
        <v>5373</v>
      </c>
      <c r="G10" s="426"/>
      <c r="H10" s="426"/>
    </row>
    <row r="11" spans="1:12" ht="20.25">
      <c r="A11" s="425"/>
      <c r="B11" s="425" t="s">
        <v>1287</v>
      </c>
      <c r="C11" s="426" t="s">
        <v>1283</v>
      </c>
      <c r="D11" s="427" t="s">
        <v>1288</v>
      </c>
      <c r="E11" s="422">
        <v>93593</v>
      </c>
      <c r="F11" s="422">
        <v>29276</v>
      </c>
      <c r="G11" s="426"/>
      <c r="H11" s="426"/>
    </row>
    <row r="12" spans="1:12" ht="63.75" customHeight="1">
      <c r="A12" s="422" t="s">
        <v>15</v>
      </c>
      <c r="B12" s="423" t="s">
        <v>1289</v>
      </c>
      <c r="C12" s="424"/>
      <c r="D12" s="424" t="s">
        <v>1290</v>
      </c>
      <c r="E12" s="424" t="s">
        <v>1291</v>
      </c>
      <c r="F12" s="424" t="s">
        <v>1292</v>
      </c>
      <c r="G12" s="424" t="s">
        <v>1293</v>
      </c>
      <c r="H12" s="424" t="s">
        <v>1294</v>
      </c>
    </row>
    <row r="13" spans="1:12" ht="20.25">
      <c r="A13" s="425"/>
      <c r="B13" s="425" t="s">
        <v>1282</v>
      </c>
      <c r="C13" s="426" t="s">
        <v>1283</v>
      </c>
      <c r="D13" s="426">
        <v>27131</v>
      </c>
      <c r="E13" s="426">
        <v>14034</v>
      </c>
      <c r="F13" s="426">
        <v>41165</v>
      </c>
      <c r="G13" s="426">
        <v>11969</v>
      </c>
      <c r="H13" s="426">
        <v>29196</v>
      </c>
      <c r="I13" s="433"/>
      <c r="J13" s="416"/>
    </row>
    <row r="14" spans="1:12" ht="20.25">
      <c r="A14" s="425"/>
      <c r="B14" s="425" t="s">
        <v>1285</v>
      </c>
      <c r="C14" s="426" t="s">
        <v>1283</v>
      </c>
      <c r="D14" s="426">
        <v>12582</v>
      </c>
      <c r="E14" s="426">
        <v>5307</v>
      </c>
      <c r="F14" s="426">
        <v>17889</v>
      </c>
      <c r="G14" s="426">
        <v>4978</v>
      </c>
      <c r="H14" s="426">
        <v>12911</v>
      </c>
      <c r="I14" s="433"/>
      <c r="J14" s="416"/>
    </row>
    <row r="15" spans="1:12" ht="20.25">
      <c r="A15" s="425"/>
      <c r="B15" s="425" t="s">
        <v>1287</v>
      </c>
      <c r="C15" s="426" t="s">
        <v>1283</v>
      </c>
      <c r="D15" s="428">
        <v>39713</v>
      </c>
      <c r="E15" s="428">
        <v>19341</v>
      </c>
      <c r="F15" s="428">
        <v>59054</v>
      </c>
      <c r="G15" s="428">
        <v>16947</v>
      </c>
      <c r="H15" s="428">
        <v>42107</v>
      </c>
      <c r="I15" s="433"/>
      <c r="J15" s="416"/>
    </row>
    <row r="16" spans="1:12" ht="20.25">
      <c r="A16" s="429"/>
      <c r="B16" s="429"/>
      <c r="C16" s="429"/>
      <c r="D16" s="430"/>
      <c r="E16" s="430"/>
      <c r="F16" s="430"/>
      <c r="G16" s="430"/>
      <c r="H16" s="430"/>
      <c r="J16" s="434"/>
    </row>
    <row r="17" spans="1:8" ht="20.25">
      <c r="A17" s="431"/>
      <c r="B17" s="429"/>
      <c r="C17" s="429"/>
      <c r="D17" s="430"/>
      <c r="E17" s="430"/>
      <c r="F17" s="430"/>
      <c r="G17" s="430"/>
      <c r="H17" s="430"/>
    </row>
    <row r="18" spans="1:8" ht="40.5" customHeight="1">
      <c r="A18" s="519"/>
      <c r="B18" s="519"/>
      <c r="C18" s="519"/>
      <c r="D18" s="519"/>
      <c r="E18" s="519"/>
      <c r="F18" s="519"/>
      <c r="G18" s="519"/>
      <c r="H18" s="519"/>
    </row>
  </sheetData>
  <mergeCells count="2">
    <mergeCell ref="A7:H7"/>
    <mergeCell ref="A18:H18"/>
  </mergeCells>
  <pageMargins left="0.46" right="0.37" top="0.74803149606299213" bottom="0.74803149606299213" header="0.46" footer="0.31496062992125984"/>
  <pageSetup paperSize="9" scale="6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topLeftCell="A6" workbookViewId="0">
      <selection activeCell="P14" sqref="P14"/>
    </sheetView>
  </sheetViews>
  <sheetFormatPr defaultRowHeight="12.75"/>
  <cols>
    <col min="1" max="1" width="16.7109375" style="439" customWidth="1"/>
    <col min="2" max="2" width="8.28515625" style="439" customWidth="1"/>
    <col min="3" max="3" width="22.5703125" style="439" customWidth="1"/>
    <col min="4" max="4" width="14.5703125" style="439" customWidth="1"/>
    <col min="5" max="5" width="14.7109375" style="439" customWidth="1"/>
    <col min="6" max="6" width="16.5703125" style="439" customWidth="1"/>
    <col min="7" max="7" width="14.140625" style="439" customWidth="1"/>
    <col min="8" max="8" width="25.42578125" style="439" customWidth="1"/>
    <col min="9" max="256" width="9.140625" style="439"/>
    <col min="257" max="257" width="16.7109375" style="439" customWidth="1"/>
    <col min="258" max="258" width="8.28515625" style="439" customWidth="1"/>
    <col min="259" max="259" width="22.5703125" style="439" customWidth="1"/>
    <col min="260" max="260" width="14.5703125" style="439" customWidth="1"/>
    <col min="261" max="261" width="14.7109375" style="439" customWidth="1"/>
    <col min="262" max="262" width="16.5703125" style="439" customWidth="1"/>
    <col min="263" max="263" width="14.140625" style="439" customWidth="1"/>
    <col min="264" max="264" width="25.42578125" style="439" customWidth="1"/>
    <col min="265" max="512" width="9.140625" style="439"/>
    <col min="513" max="513" width="16.7109375" style="439" customWidth="1"/>
    <col min="514" max="514" width="8.28515625" style="439" customWidth="1"/>
    <col min="515" max="515" width="22.5703125" style="439" customWidth="1"/>
    <col min="516" max="516" width="14.5703125" style="439" customWidth="1"/>
    <col min="517" max="517" width="14.7109375" style="439" customWidth="1"/>
    <col min="518" max="518" width="16.5703125" style="439" customWidth="1"/>
    <col min="519" max="519" width="14.140625" style="439" customWidth="1"/>
    <col min="520" max="520" width="25.42578125" style="439" customWidth="1"/>
    <col min="521" max="768" width="9.140625" style="439"/>
    <col min="769" max="769" width="16.7109375" style="439" customWidth="1"/>
    <col min="770" max="770" width="8.28515625" style="439" customWidth="1"/>
    <col min="771" max="771" width="22.5703125" style="439" customWidth="1"/>
    <col min="772" max="772" width="14.5703125" style="439" customWidth="1"/>
    <col min="773" max="773" width="14.7109375" style="439" customWidth="1"/>
    <col min="774" max="774" width="16.5703125" style="439" customWidth="1"/>
    <col min="775" max="775" width="14.140625" style="439" customWidth="1"/>
    <col min="776" max="776" width="25.42578125" style="439" customWidth="1"/>
    <col min="777" max="1024" width="9.140625" style="439"/>
    <col min="1025" max="1025" width="16.7109375" style="439" customWidth="1"/>
    <col min="1026" max="1026" width="8.28515625" style="439" customWidth="1"/>
    <col min="1027" max="1027" width="22.5703125" style="439" customWidth="1"/>
    <col min="1028" max="1028" width="14.5703125" style="439" customWidth="1"/>
    <col min="1029" max="1029" width="14.7109375" style="439" customWidth="1"/>
    <col min="1030" max="1030" width="16.5703125" style="439" customWidth="1"/>
    <col min="1031" max="1031" width="14.140625" style="439" customWidth="1"/>
    <col min="1032" max="1032" width="25.42578125" style="439" customWidth="1"/>
    <col min="1033" max="1280" width="9.140625" style="439"/>
    <col min="1281" max="1281" width="16.7109375" style="439" customWidth="1"/>
    <col min="1282" max="1282" width="8.28515625" style="439" customWidth="1"/>
    <col min="1283" max="1283" width="22.5703125" style="439" customWidth="1"/>
    <col min="1284" max="1284" width="14.5703125" style="439" customWidth="1"/>
    <col min="1285" max="1285" width="14.7109375" style="439" customWidth="1"/>
    <col min="1286" max="1286" width="16.5703125" style="439" customWidth="1"/>
    <col min="1287" max="1287" width="14.140625" style="439" customWidth="1"/>
    <col min="1288" max="1288" width="25.42578125" style="439" customWidth="1"/>
    <col min="1289" max="1536" width="9.140625" style="439"/>
    <col min="1537" max="1537" width="16.7109375" style="439" customWidth="1"/>
    <col min="1538" max="1538" width="8.28515625" style="439" customWidth="1"/>
    <col min="1539" max="1539" width="22.5703125" style="439" customWidth="1"/>
    <col min="1540" max="1540" width="14.5703125" style="439" customWidth="1"/>
    <col min="1541" max="1541" width="14.7109375" style="439" customWidth="1"/>
    <col min="1542" max="1542" width="16.5703125" style="439" customWidth="1"/>
    <col min="1543" max="1543" width="14.140625" style="439" customWidth="1"/>
    <col min="1544" max="1544" width="25.42578125" style="439" customWidth="1"/>
    <col min="1545" max="1792" width="9.140625" style="439"/>
    <col min="1793" max="1793" width="16.7109375" style="439" customWidth="1"/>
    <col min="1794" max="1794" width="8.28515625" style="439" customWidth="1"/>
    <col min="1795" max="1795" width="22.5703125" style="439" customWidth="1"/>
    <col min="1796" max="1796" width="14.5703125" style="439" customWidth="1"/>
    <col min="1797" max="1797" width="14.7109375" style="439" customWidth="1"/>
    <col min="1798" max="1798" width="16.5703125" style="439" customWidth="1"/>
    <col min="1799" max="1799" width="14.140625" style="439" customWidth="1"/>
    <col min="1800" max="1800" width="25.42578125" style="439" customWidth="1"/>
    <col min="1801" max="2048" width="9.140625" style="439"/>
    <col min="2049" max="2049" width="16.7109375" style="439" customWidth="1"/>
    <col min="2050" max="2050" width="8.28515625" style="439" customWidth="1"/>
    <col min="2051" max="2051" width="22.5703125" style="439" customWidth="1"/>
    <col min="2052" max="2052" width="14.5703125" style="439" customWidth="1"/>
    <col min="2053" max="2053" width="14.7109375" style="439" customWidth="1"/>
    <col min="2054" max="2054" width="16.5703125" style="439" customWidth="1"/>
    <col min="2055" max="2055" width="14.140625" style="439" customWidth="1"/>
    <col min="2056" max="2056" width="25.42578125" style="439" customWidth="1"/>
    <col min="2057" max="2304" width="9.140625" style="439"/>
    <col min="2305" max="2305" width="16.7109375" style="439" customWidth="1"/>
    <col min="2306" max="2306" width="8.28515625" style="439" customWidth="1"/>
    <col min="2307" max="2307" width="22.5703125" style="439" customWidth="1"/>
    <col min="2308" max="2308" width="14.5703125" style="439" customWidth="1"/>
    <col min="2309" max="2309" width="14.7109375" style="439" customWidth="1"/>
    <col min="2310" max="2310" width="16.5703125" style="439" customWidth="1"/>
    <col min="2311" max="2311" width="14.140625" style="439" customWidth="1"/>
    <col min="2312" max="2312" width="25.42578125" style="439" customWidth="1"/>
    <col min="2313" max="2560" width="9.140625" style="439"/>
    <col min="2561" max="2561" width="16.7109375" style="439" customWidth="1"/>
    <col min="2562" max="2562" width="8.28515625" style="439" customWidth="1"/>
    <col min="2563" max="2563" width="22.5703125" style="439" customWidth="1"/>
    <col min="2564" max="2564" width="14.5703125" style="439" customWidth="1"/>
    <col min="2565" max="2565" width="14.7109375" style="439" customWidth="1"/>
    <col min="2566" max="2566" width="16.5703125" style="439" customWidth="1"/>
    <col min="2567" max="2567" width="14.140625" style="439" customWidth="1"/>
    <col min="2568" max="2568" width="25.42578125" style="439" customWidth="1"/>
    <col min="2569" max="2816" width="9.140625" style="439"/>
    <col min="2817" max="2817" width="16.7109375" style="439" customWidth="1"/>
    <col min="2818" max="2818" width="8.28515625" style="439" customWidth="1"/>
    <col min="2819" max="2819" width="22.5703125" style="439" customWidth="1"/>
    <col min="2820" max="2820" width="14.5703125" style="439" customWidth="1"/>
    <col min="2821" max="2821" width="14.7109375" style="439" customWidth="1"/>
    <col min="2822" max="2822" width="16.5703125" style="439" customWidth="1"/>
    <col min="2823" max="2823" width="14.140625" style="439" customWidth="1"/>
    <col min="2824" max="2824" width="25.42578125" style="439" customWidth="1"/>
    <col min="2825" max="3072" width="9.140625" style="439"/>
    <col min="3073" max="3073" width="16.7109375" style="439" customWidth="1"/>
    <col min="3074" max="3074" width="8.28515625" style="439" customWidth="1"/>
    <col min="3075" max="3075" width="22.5703125" style="439" customWidth="1"/>
    <col min="3076" max="3076" width="14.5703125" style="439" customWidth="1"/>
    <col min="3077" max="3077" width="14.7109375" style="439" customWidth="1"/>
    <col min="3078" max="3078" width="16.5703125" style="439" customWidth="1"/>
    <col min="3079" max="3079" width="14.140625" style="439" customWidth="1"/>
    <col min="3080" max="3080" width="25.42578125" style="439" customWidth="1"/>
    <col min="3081" max="3328" width="9.140625" style="439"/>
    <col min="3329" max="3329" width="16.7109375" style="439" customWidth="1"/>
    <col min="3330" max="3330" width="8.28515625" style="439" customWidth="1"/>
    <col min="3331" max="3331" width="22.5703125" style="439" customWidth="1"/>
    <col min="3332" max="3332" width="14.5703125" style="439" customWidth="1"/>
    <col min="3333" max="3333" width="14.7109375" style="439" customWidth="1"/>
    <col min="3334" max="3334" width="16.5703125" style="439" customWidth="1"/>
    <col min="3335" max="3335" width="14.140625" style="439" customWidth="1"/>
    <col min="3336" max="3336" width="25.42578125" style="439" customWidth="1"/>
    <col min="3337" max="3584" width="9.140625" style="439"/>
    <col min="3585" max="3585" width="16.7109375" style="439" customWidth="1"/>
    <col min="3586" max="3586" width="8.28515625" style="439" customWidth="1"/>
    <col min="3587" max="3587" width="22.5703125" style="439" customWidth="1"/>
    <col min="3588" max="3588" width="14.5703125" style="439" customWidth="1"/>
    <col min="3589" max="3589" width="14.7109375" style="439" customWidth="1"/>
    <col min="3590" max="3590" width="16.5703125" style="439" customWidth="1"/>
    <col min="3591" max="3591" width="14.140625" style="439" customWidth="1"/>
    <col min="3592" max="3592" width="25.42578125" style="439" customWidth="1"/>
    <col min="3593" max="3840" width="9.140625" style="439"/>
    <col min="3841" max="3841" width="16.7109375" style="439" customWidth="1"/>
    <col min="3842" max="3842" width="8.28515625" style="439" customWidth="1"/>
    <col min="3843" max="3843" width="22.5703125" style="439" customWidth="1"/>
    <col min="3844" max="3844" width="14.5703125" style="439" customWidth="1"/>
    <col min="3845" max="3845" width="14.7109375" style="439" customWidth="1"/>
    <col min="3846" max="3846" width="16.5703125" style="439" customWidth="1"/>
    <col min="3847" max="3847" width="14.140625" style="439" customWidth="1"/>
    <col min="3848" max="3848" width="25.42578125" style="439" customWidth="1"/>
    <col min="3849" max="4096" width="9.140625" style="439"/>
    <col min="4097" max="4097" width="16.7109375" style="439" customWidth="1"/>
    <col min="4098" max="4098" width="8.28515625" style="439" customWidth="1"/>
    <col min="4099" max="4099" width="22.5703125" style="439" customWidth="1"/>
    <col min="4100" max="4100" width="14.5703125" style="439" customWidth="1"/>
    <col min="4101" max="4101" width="14.7109375" style="439" customWidth="1"/>
    <col min="4102" max="4102" width="16.5703125" style="439" customWidth="1"/>
    <col min="4103" max="4103" width="14.140625" style="439" customWidth="1"/>
    <col min="4104" max="4104" width="25.42578125" style="439" customWidth="1"/>
    <col min="4105" max="4352" width="9.140625" style="439"/>
    <col min="4353" max="4353" width="16.7109375" style="439" customWidth="1"/>
    <col min="4354" max="4354" width="8.28515625" style="439" customWidth="1"/>
    <col min="4355" max="4355" width="22.5703125" style="439" customWidth="1"/>
    <col min="4356" max="4356" width="14.5703125" style="439" customWidth="1"/>
    <col min="4357" max="4357" width="14.7109375" style="439" customWidth="1"/>
    <col min="4358" max="4358" width="16.5703125" style="439" customWidth="1"/>
    <col min="4359" max="4359" width="14.140625" style="439" customWidth="1"/>
    <col min="4360" max="4360" width="25.42578125" style="439" customWidth="1"/>
    <col min="4361" max="4608" width="9.140625" style="439"/>
    <col min="4609" max="4609" width="16.7109375" style="439" customWidth="1"/>
    <col min="4610" max="4610" width="8.28515625" style="439" customWidth="1"/>
    <col min="4611" max="4611" width="22.5703125" style="439" customWidth="1"/>
    <col min="4612" max="4612" width="14.5703125" style="439" customWidth="1"/>
    <col min="4613" max="4613" width="14.7109375" style="439" customWidth="1"/>
    <col min="4614" max="4614" width="16.5703125" style="439" customWidth="1"/>
    <col min="4615" max="4615" width="14.140625" style="439" customWidth="1"/>
    <col min="4616" max="4616" width="25.42578125" style="439" customWidth="1"/>
    <col min="4617" max="4864" width="9.140625" style="439"/>
    <col min="4865" max="4865" width="16.7109375" style="439" customWidth="1"/>
    <col min="4866" max="4866" width="8.28515625" style="439" customWidth="1"/>
    <col min="4867" max="4867" width="22.5703125" style="439" customWidth="1"/>
    <col min="4868" max="4868" width="14.5703125" style="439" customWidth="1"/>
    <col min="4869" max="4869" width="14.7109375" style="439" customWidth="1"/>
    <col min="4870" max="4870" width="16.5703125" style="439" customWidth="1"/>
    <col min="4871" max="4871" width="14.140625" style="439" customWidth="1"/>
    <col min="4872" max="4872" width="25.42578125" style="439" customWidth="1"/>
    <col min="4873" max="5120" width="9.140625" style="439"/>
    <col min="5121" max="5121" width="16.7109375" style="439" customWidth="1"/>
    <col min="5122" max="5122" width="8.28515625" style="439" customWidth="1"/>
    <col min="5123" max="5123" width="22.5703125" style="439" customWidth="1"/>
    <col min="5124" max="5124" width="14.5703125" style="439" customWidth="1"/>
    <col min="5125" max="5125" width="14.7109375" style="439" customWidth="1"/>
    <col min="5126" max="5126" width="16.5703125" style="439" customWidth="1"/>
    <col min="5127" max="5127" width="14.140625" style="439" customWidth="1"/>
    <col min="5128" max="5128" width="25.42578125" style="439" customWidth="1"/>
    <col min="5129" max="5376" width="9.140625" style="439"/>
    <col min="5377" max="5377" width="16.7109375" style="439" customWidth="1"/>
    <col min="5378" max="5378" width="8.28515625" style="439" customWidth="1"/>
    <col min="5379" max="5379" width="22.5703125" style="439" customWidth="1"/>
    <col min="5380" max="5380" width="14.5703125" style="439" customWidth="1"/>
    <col min="5381" max="5381" width="14.7109375" style="439" customWidth="1"/>
    <col min="5382" max="5382" width="16.5703125" style="439" customWidth="1"/>
    <col min="5383" max="5383" width="14.140625" style="439" customWidth="1"/>
    <col min="5384" max="5384" width="25.42578125" style="439" customWidth="1"/>
    <col min="5385" max="5632" width="9.140625" style="439"/>
    <col min="5633" max="5633" width="16.7109375" style="439" customWidth="1"/>
    <col min="5634" max="5634" width="8.28515625" style="439" customWidth="1"/>
    <col min="5635" max="5635" width="22.5703125" style="439" customWidth="1"/>
    <col min="5636" max="5636" width="14.5703125" style="439" customWidth="1"/>
    <col min="5637" max="5637" width="14.7109375" style="439" customWidth="1"/>
    <col min="5638" max="5638" width="16.5703125" style="439" customWidth="1"/>
    <col min="5639" max="5639" width="14.140625" style="439" customWidth="1"/>
    <col min="5640" max="5640" width="25.42578125" style="439" customWidth="1"/>
    <col min="5641" max="5888" width="9.140625" style="439"/>
    <col min="5889" max="5889" width="16.7109375" style="439" customWidth="1"/>
    <col min="5890" max="5890" width="8.28515625" style="439" customWidth="1"/>
    <col min="5891" max="5891" width="22.5703125" style="439" customWidth="1"/>
    <col min="5892" max="5892" width="14.5703125" style="439" customWidth="1"/>
    <col min="5893" max="5893" width="14.7109375" style="439" customWidth="1"/>
    <col min="5894" max="5894" width="16.5703125" style="439" customWidth="1"/>
    <col min="5895" max="5895" width="14.140625" style="439" customWidth="1"/>
    <col min="5896" max="5896" width="25.42578125" style="439" customWidth="1"/>
    <col min="5897" max="6144" width="9.140625" style="439"/>
    <col min="6145" max="6145" width="16.7109375" style="439" customWidth="1"/>
    <col min="6146" max="6146" width="8.28515625" style="439" customWidth="1"/>
    <col min="6147" max="6147" width="22.5703125" style="439" customWidth="1"/>
    <col min="6148" max="6148" width="14.5703125" style="439" customWidth="1"/>
    <col min="6149" max="6149" width="14.7109375" style="439" customWidth="1"/>
    <col min="6150" max="6150" width="16.5703125" style="439" customWidth="1"/>
    <col min="6151" max="6151" width="14.140625" style="439" customWidth="1"/>
    <col min="6152" max="6152" width="25.42578125" style="439" customWidth="1"/>
    <col min="6153" max="6400" width="9.140625" style="439"/>
    <col min="6401" max="6401" width="16.7109375" style="439" customWidth="1"/>
    <col min="6402" max="6402" width="8.28515625" style="439" customWidth="1"/>
    <col min="6403" max="6403" width="22.5703125" style="439" customWidth="1"/>
    <col min="6404" max="6404" width="14.5703125" style="439" customWidth="1"/>
    <col min="6405" max="6405" width="14.7109375" style="439" customWidth="1"/>
    <col min="6406" max="6406" width="16.5703125" style="439" customWidth="1"/>
    <col min="6407" max="6407" width="14.140625" style="439" customWidth="1"/>
    <col min="6408" max="6408" width="25.42578125" style="439" customWidth="1"/>
    <col min="6409" max="6656" width="9.140625" style="439"/>
    <col min="6657" max="6657" width="16.7109375" style="439" customWidth="1"/>
    <col min="6658" max="6658" width="8.28515625" style="439" customWidth="1"/>
    <col min="6659" max="6659" width="22.5703125" style="439" customWidth="1"/>
    <col min="6660" max="6660" width="14.5703125" style="439" customWidth="1"/>
    <col min="6661" max="6661" width="14.7109375" style="439" customWidth="1"/>
    <col min="6662" max="6662" width="16.5703125" style="439" customWidth="1"/>
    <col min="6663" max="6663" width="14.140625" style="439" customWidth="1"/>
    <col min="6664" max="6664" width="25.42578125" style="439" customWidth="1"/>
    <col min="6665" max="6912" width="9.140625" style="439"/>
    <col min="6913" max="6913" width="16.7109375" style="439" customWidth="1"/>
    <col min="6914" max="6914" width="8.28515625" style="439" customWidth="1"/>
    <col min="6915" max="6915" width="22.5703125" style="439" customWidth="1"/>
    <col min="6916" max="6916" width="14.5703125" style="439" customWidth="1"/>
    <col min="6917" max="6917" width="14.7109375" style="439" customWidth="1"/>
    <col min="6918" max="6918" width="16.5703125" style="439" customWidth="1"/>
    <col min="6919" max="6919" width="14.140625" style="439" customWidth="1"/>
    <col min="6920" max="6920" width="25.42578125" style="439" customWidth="1"/>
    <col min="6921" max="7168" width="9.140625" style="439"/>
    <col min="7169" max="7169" width="16.7109375" style="439" customWidth="1"/>
    <col min="7170" max="7170" width="8.28515625" style="439" customWidth="1"/>
    <col min="7171" max="7171" width="22.5703125" style="439" customWidth="1"/>
    <col min="7172" max="7172" width="14.5703125" style="439" customWidth="1"/>
    <col min="7173" max="7173" width="14.7109375" style="439" customWidth="1"/>
    <col min="7174" max="7174" width="16.5703125" style="439" customWidth="1"/>
    <col min="7175" max="7175" width="14.140625" style="439" customWidth="1"/>
    <col min="7176" max="7176" width="25.42578125" style="439" customWidth="1"/>
    <col min="7177" max="7424" width="9.140625" style="439"/>
    <col min="7425" max="7425" width="16.7109375" style="439" customWidth="1"/>
    <col min="7426" max="7426" width="8.28515625" style="439" customWidth="1"/>
    <col min="7427" max="7427" width="22.5703125" style="439" customWidth="1"/>
    <col min="7428" max="7428" width="14.5703125" style="439" customWidth="1"/>
    <col min="7429" max="7429" width="14.7109375" style="439" customWidth="1"/>
    <col min="7430" max="7430" width="16.5703125" style="439" customWidth="1"/>
    <col min="7431" max="7431" width="14.140625" style="439" customWidth="1"/>
    <col min="7432" max="7432" width="25.42578125" style="439" customWidth="1"/>
    <col min="7433" max="7680" width="9.140625" style="439"/>
    <col min="7681" max="7681" width="16.7109375" style="439" customWidth="1"/>
    <col min="7682" max="7682" width="8.28515625" style="439" customWidth="1"/>
    <col min="7683" max="7683" width="22.5703125" style="439" customWidth="1"/>
    <col min="7684" max="7684" width="14.5703125" style="439" customWidth="1"/>
    <col min="7685" max="7685" width="14.7109375" style="439" customWidth="1"/>
    <col min="7686" max="7686" width="16.5703125" style="439" customWidth="1"/>
    <col min="7687" max="7687" width="14.140625" style="439" customWidth="1"/>
    <col min="7688" max="7688" width="25.42578125" style="439" customWidth="1"/>
    <col min="7689" max="7936" width="9.140625" style="439"/>
    <col min="7937" max="7937" width="16.7109375" style="439" customWidth="1"/>
    <col min="7938" max="7938" width="8.28515625" style="439" customWidth="1"/>
    <col min="7939" max="7939" width="22.5703125" style="439" customWidth="1"/>
    <col min="7940" max="7940" width="14.5703125" style="439" customWidth="1"/>
    <col min="7941" max="7941" width="14.7109375" style="439" customWidth="1"/>
    <col min="7942" max="7942" width="16.5703125" style="439" customWidth="1"/>
    <col min="7943" max="7943" width="14.140625" style="439" customWidth="1"/>
    <col min="7944" max="7944" width="25.42578125" style="439" customWidth="1"/>
    <col min="7945" max="8192" width="9.140625" style="439"/>
    <col min="8193" max="8193" width="16.7109375" style="439" customWidth="1"/>
    <col min="8194" max="8194" width="8.28515625" style="439" customWidth="1"/>
    <col min="8195" max="8195" width="22.5703125" style="439" customWidth="1"/>
    <col min="8196" max="8196" width="14.5703125" style="439" customWidth="1"/>
    <col min="8197" max="8197" width="14.7109375" style="439" customWidth="1"/>
    <col min="8198" max="8198" width="16.5703125" style="439" customWidth="1"/>
    <col min="8199" max="8199" width="14.140625" style="439" customWidth="1"/>
    <col min="8200" max="8200" width="25.42578125" style="439" customWidth="1"/>
    <col min="8201" max="8448" width="9.140625" style="439"/>
    <col min="8449" max="8449" width="16.7109375" style="439" customWidth="1"/>
    <col min="8450" max="8450" width="8.28515625" style="439" customWidth="1"/>
    <col min="8451" max="8451" width="22.5703125" style="439" customWidth="1"/>
    <col min="8452" max="8452" width="14.5703125" style="439" customWidth="1"/>
    <col min="8453" max="8453" width="14.7109375" style="439" customWidth="1"/>
    <col min="8454" max="8454" width="16.5703125" style="439" customWidth="1"/>
    <col min="8455" max="8455" width="14.140625" style="439" customWidth="1"/>
    <col min="8456" max="8456" width="25.42578125" style="439" customWidth="1"/>
    <col min="8457" max="8704" width="9.140625" style="439"/>
    <col min="8705" max="8705" width="16.7109375" style="439" customWidth="1"/>
    <col min="8706" max="8706" width="8.28515625" style="439" customWidth="1"/>
    <col min="8707" max="8707" width="22.5703125" style="439" customWidth="1"/>
    <col min="8708" max="8708" width="14.5703125" style="439" customWidth="1"/>
    <col min="8709" max="8709" width="14.7109375" style="439" customWidth="1"/>
    <col min="8710" max="8710" width="16.5703125" style="439" customWidth="1"/>
    <col min="8711" max="8711" width="14.140625" style="439" customWidth="1"/>
    <col min="8712" max="8712" width="25.42578125" style="439" customWidth="1"/>
    <col min="8713" max="8960" width="9.140625" style="439"/>
    <col min="8961" max="8961" width="16.7109375" style="439" customWidth="1"/>
    <col min="8962" max="8962" width="8.28515625" style="439" customWidth="1"/>
    <col min="8963" max="8963" width="22.5703125" style="439" customWidth="1"/>
    <col min="8964" max="8964" width="14.5703125" style="439" customWidth="1"/>
    <col min="8965" max="8965" width="14.7109375" style="439" customWidth="1"/>
    <col min="8966" max="8966" width="16.5703125" style="439" customWidth="1"/>
    <col min="8967" max="8967" width="14.140625" style="439" customWidth="1"/>
    <col min="8968" max="8968" width="25.42578125" style="439" customWidth="1"/>
    <col min="8969" max="9216" width="9.140625" style="439"/>
    <col min="9217" max="9217" width="16.7109375" style="439" customWidth="1"/>
    <col min="9218" max="9218" width="8.28515625" style="439" customWidth="1"/>
    <col min="9219" max="9219" width="22.5703125" style="439" customWidth="1"/>
    <col min="9220" max="9220" width="14.5703125" style="439" customWidth="1"/>
    <col min="9221" max="9221" width="14.7109375" style="439" customWidth="1"/>
    <col min="9222" max="9222" width="16.5703125" style="439" customWidth="1"/>
    <col min="9223" max="9223" width="14.140625" style="439" customWidth="1"/>
    <col min="9224" max="9224" width="25.42578125" style="439" customWidth="1"/>
    <col min="9225" max="9472" width="9.140625" style="439"/>
    <col min="9473" max="9473" width="16.7109375" style="439" customWidth="1"/>
    <col min="9474" max="9474" width="8.28515625" style="439" customWidth="1"/>
    <col min="9475" max="9475" width="22.5703125" style="439" customWidth="1"/>
    <col min="9476" max="9476" width="14.5703125" style="439" customWidth="1"/>
    <col min="9477" max="9477" width="14.7109375" style="439" customWidth="1"/>
    <col min="9478" max="9478" width="16.5703125" style="439" customWidth="1"/>
    <col min="9479" max="9479" width="14.140625" style="439" customWidth="1"/>
    <col min="9480" max="9480" width="25.42578125" style="439" customWidth="1"/>
    <col min="9481" max="9728" width="9.140625" style="439"/>
    <col min="9729" max="9729" width="16.7109375" style="439" customWidth="1"/>
    <col min="9730" max="9730" width="8.28515625" style="439" customWidth="1"/>
    <col min="9731" max="9731" width="22.5703125" style="439" customWidth="1"/>
    <col min="9732" max="9732" width="14.5703125" style="439" customWidth="1"/>
    <col min="9733" max="9733" width="14.7109375" style="439" customWidth="1"/>
    <col min="9734" max="9734" width="16.5703125" style="439" customWidth="1"/>
    <col min="9735" max="9735" width="14.140625" style="439" customWidth="1"/>
    <col min="9736" max="9736" width="25.42578125" style="439" customWidth="1"/>
    <col min="9737" max="9984" width="9.140625" style="439"/>
    <col min="9985" max="9985" width="16.7109375" style="439" customWidth="1"/>
    <col min="9986" max="9986" width="8.28515625" style="439" customWidth="1"/>
    <col min="9987" max="9987" width="22.5703125" style="439" customWidth="1"/>
    <col min="9988" max="9988" width="14.5703125" style="439" customWidth="1"/>
    <col min="9989" max="9989" width="14.7109375" style="439" customWidth="1"/>
    <col min="9990" max="9990" width="16.5703125" style="439" customWidth="1"/>
    <col min="9991" max="9991" width="14.140625" style="439" customWidth="1"/>
    <col min="9992" max="9992" width="25.42578125" style="439" customWidth="1"/>
    <col min="9993" max="10240" width="9.140625" style="439"/>
    <col min="10241" max="10241" width="16.7109375" style="439" customWidth="1"/>
    <col min="10242" max="10242" width="8.28515625" style="439" customWidth="1"/>
    <col min="10243" max="10243" width="22.5703125" style="439" customWidth="1"/>
    <col min="10244" max="10244" width="14.5703125" style="439" customWidth="1"/>
    <col min="10245" max="10245" width="14.7109375" style="439" customWidth="1"/>
    <col min="10246" max="10246" width="16.5703125" style="439" customWidth="1"/>
    <col min="10247" max="10247" width="14.140625" style="439" customWidth="1"/>
    <col min="10248" max="10248" width="25.42578125" style="439" customWidth="1"/>
    <col min="10249" max="10496" width="9.140625" style="439"/>
    <col min="10497" max="10497" width="16.7109375" style="439" customWidth="1"/>
    <col min="10498" max="10498" width="8.28515625" style="439" customWidth="1"/>
    <col min="10499" max="10499" width="22.5703125" style="439" customWidth="1"/>
    <col min="10500" max="10500" width="14.5703125" style="439" customWidth="1"/>
    <col min="10501" max="10501" width="14.7109375" style="439" customWidth="1"/>
    <col min="10502" max="10502" width="16.5703125" style="439" customWidth="1"/>
    <col min="10503" max="10503" width="14.140625" style="439" customWidth="1"/>
    <col min="10504" max="10504" width="25.42578125" style="439" customWidth="1"/>
    <col min="10505" max="10752" width="9.140625" style="439"/>
    <col min="10753" max="10753" width="16.7109375" style="439" customWidth="1"/>
    <col min="10754" max="10754" width="8.28515625" style="439" customWidth="1"/>
    <col min="10755" max="10755" width="22.5703125" style="439" customWidth="1"/>
    <col min="10756" max="10756" width="14.5703125" style="439" customWidth="1"/>
    <col min="10757" max="10757" width="14.7109375" style="439" customWidth="1"/>
    <col min="10758" max="10758" width="16.5703125" style="439" customWidth="1"/>
    <col min="10759" max="10759" width="14.140625" style="439" customWidth="1"/>
    <col min="10760" max="10760" width="25.42578125" style="439" customWidth="1"/>
    <col min="10761" max="11008" width="9.140625" style="439"/>
    <col min="11009" max="11009" width="16.7109375" style="439" customWidth="1"/>
    <col min="11010" max="11010" width="8.28515625" style="439" customWidth="1"/>
    <col min="11011" max="11011" width="22.5703125" style="439" customWidth="1"/>
    <col min="11012" max="11012" width="14.5703125" style="439" customWidth="1"/>
    <col min="11013" max="11013" width="14.7109375" style="439" customWidth="1"/>
    <col min="11014" max="11014" width="16.5703125" style="439" customWidth="1"/>
    <col min="11015" max="11015" width="14.140625" style="439" customWidth="1"/>
    <col min="11016" max="11016" width="25.42578125" style="439" customWidth="1"/>
    <col min="11017" max="11264" width="9.140625" style="439"/>
    <col min="11265" max="11265" width="16.7109375" style="439" customWidth="1"/>
    <col min="11266" max="11266" width="8.28515625" style="439" customWidth="1"/>
    <col min="11267" max="11267" width="22.5703125" style="439" customWidth="1"/>
    <col min="11268" max="11268" width="14.5703125" style="439" customWidth="1"/>
    <col min="11269" max="11269" width="14.7109375" style="439" customWidth="1"/>
    <col min="11270" max="11270" width="16.5703125" style="439" customWidth="1"/>
    <col min="11271" max="11271" width="14.140625" style="439" customWidth="1"/>
    <col min="11272" max="11272" width="25.42578125" style="439" customWidth="1"/>
    <col min="11273" max="11520" width="9.140625" style="439"/>
    <col min="11521" max="11521" width="16.7109375" style="439" customWidth="1"/>
    <col min="11522" max="11522" width="8.28515625" style="439" customWidth="1"/>
    <col min="11523" max="11523" width="22.5703125" style="439" customWidth="1"/>
    <col min="11524" max="11524" width="14.5703125" style="439" customWidth="1"/>
    <col min="11525" max="11525" width="14.7109375" style="439" customWidth="1"/>
    <col min="11526" max="11526" width="16.5703125" style="439" customWidth="1"/>
    <col min="11527" max="11527" width="14.140625" style="439" customWidth="1"/>
    <col min="11528" max="11528" width="25.42578125" style="439" customWidth="1"/>
    <col min="11529" max="11776" width="9.140625" style="439"/>
    <col min="11777" max="11777" width="16.7109375" style="439" customWidth="1"/>
    <col min="11778" max="11778" width="8.28515625" style="439" customWidth="1"/>
    <col min="11779" max="11779" width="22.5703125" style="439" customWidth="1"/>
    <col min="11780" max="11780" width="14.5703125" style="439" customWidth="1"/>
    <col min="11781" max="11781" width="14.7109375" style="439" customWidth="1"/>
    <col min="11782" max="11782" width="16.5703125" style="439" customWidth="1"/>
    <col min="11783" max="11783" width="14.140625" style="439" customWidth="1"/>
    <col min="11784" max="11784" width="25.42578125" style="439" customWidth="1"/>
    <col min="11785" max="12032" width="9.140625" style="439"/>
    <col min="12033" max="12033" width="16.7109375" style="439" customWidth="1"/>
    <col min="12034" max="12034" width="8.28515625" style="439" customWidth="1"/>
    <col min="12035" max="12035" width="22.5703125" style="439" customWidth="1"/>
    <col min="12036" max="12036" width="14.5703125" style="439" customWidth="1"/>
    <col min="12037" max="12037" width="14.7109375" style="439" customWidth="1"/>
    <col min="12038" max="12038" width="16.5703125" style="439" customWidth="1"/>
    <col min="12039" max="12039" width="14.140625" style="439" customWidth="1"/>
    <col min="12040" max="12040" width="25.42578125" style="439" customWidth="1"/>
    <col min="12041" max="12288" width="9.140625" style="439"/>
    <col min="12289" max="12289" width="16.7109375" style="439" customWidth="1"/>
    <col min="12290" max="12290" width="8.28515625" style="439" customWidth="1"/>
    <col min="12291" max="12291" width="22.5703125" style="439" customWidth="1"/>
    <col min="12292" max="12292" width="14.5703125" style="439" customWidth="1"/>
    <col min="12293" max="12293" width="14.7109375" style="439" customWidth="1"/>
    <col min="12294" max="12294" width="16.5703125" style="439" customWidth="1"/>
    <col min="12295" max="12295" width="14.140625" style="439" customWidth="1"/>
    <col min="12296" max="12296" width="25.42578125" style="439" customWidth="1"/>
    <col min="12297" max="12544" width="9.140625" style="439"/>
    <col min="12545" max="12545" width="16.7109375" style="439" customWidth="1"/>
    <col min="12546" max="12546" width="8.28515625" style="439" customWidth="1"/>
    <col min="12547" max="12547" width="22.5703125" style="439" customWidth="1"/>
    <col min="12548" max="12548" width="14.5703125" style="439" customWidth="1"/>
    <col min="12549" max="12549" width="14.7109375" style="439" customWidth="1"/>
    <col min="12550" max="12550" width="16.5703125" style="439" customWidth="1"/>
    <col min="12551" max="12551" width="14.140625" style="439" customWidth="1"/>
    <col min="12552" max="12552" width="25.42578125" style="439" customWidth="1"/>
    <col min="12553" max="12800" width="9.140625" style="439"/>
    <col min="12801" max="12801" width="16.7109375" style="439" customWidth="1"/>
    <col min="12802" max="12802" width="8.28515625" style="439" customWidth="1"/>
    <col min="12803" max="12803" width="22.5703125" style="439" customWidth="1"/>
    <col min="12804" max="12804" width="14.5703125" style="439" customWidth="1"/>
    <col min="12805" max="12805" width="14.7109375" style="439" customWidth="1"/>
    <col min="12806" max="12806" width="16.5703125" style="439" customWidth="1"/>
    <col min="12807" max="12807" width="14.140625" style="439" customWidth="1"/>
    <col min="12808" max="12808" width="25.42578125" style="439" customWidth="1"/>
    <col min="12809" max="13056" width="9.140625" style="439"/>
    <col min="13057" max="13057" width="16.7109375" style="439" customWidth="1"/>
    <col min="13058" max="13058" width="8.28515625" style="439" customWidth="1"/>
    <col min="13059" max="13059" width="22.5703125" style="439" customWidth="1"/>
    <col min="13060" max="13060" width="14.5703125" style="439" customWidth="1"/>
    <col min="13061" max="13061" width="14.7109375" style="439" customWidth="1"/>
    <col min="13062" max="13062" width="16.5703125" style="439" customWidth="1"/>
    <col min="13063" max="13063" width="14.140625" style="439" customWidth="1"/>
    <col min="13064" max="13064" width="25.42578125" style="439" customWidth="1"/>
    <col min="13065" max="13312" width="9.140625" style="439"/>
    <col min="13313" max="13313" width="16.7109375" style="439" customWidth="1"/>
    <col min="13314" max="13314" width="8.28515625" style="439" customWidth="1"/>
    <col min="13315" max="13315" width="22.5703125" style="439" customWidth="1"/>
    <col min="13316" max="13316" width="14.5703125" style="439" customWidth="1"/>
    <col min="13317" max="13317" width="14.7109375" style="439" customWidth="1"/>
    <col min="13318" max="13318" width="16.5703125" style="439" customWidth="1"/>
    <col min="13319" max="13319" width="14.140625" style="439" customWidth="1"/>
    <col min="13320" max="13320" width="25.42578125" style="439" customWidth="1"/>
    <col min="13321" max="13568" width="9.140625" style="439"/>
    <col min="13569" max="13569" width="16.7109375" style="439" customWidth="1"/>
    <col min="13570" max="13570" width="8.28515625" style="439" customWidth="1"/>
    <col min="13571" max="13571" width="22.5703125" style="439" customWidth="1"/>
    <col min="13572" max="13572" width="14.5703125" style="439" customWidth="1"/>
    <col min="13573" max="13573" width="14.7109375" style="439" customWidth="1"/>
    <col min="13574" max="13574" width="16.5703125" style="439" customWidth="1"/>
    <col min="13575" max="13575" width="14.140625" style="439" customWidth="1"/>
    <col min="13576" max="13576" width="25.42578125" style="439" customWidth="1"/>
    <col min="13577" max="13824" width="9.140625" style="439"/>
    <col min="13825" max="13825" width="16.7109375" style="439" customWidth="1"/>
    <col min="13826" max="13826" width="8.28515625" style="439" customWidth="1"/>
    <col min="13827" max="13827" width="22.5703125" style="439" customWidth="1"/>
    <col min="13828" max="13828" width="14.5703125" style="439" customWidth="1"/>
    <col min="13829" max="13829" width="14.7109375" style="439" customWidth="1"/>
    <col min="13830" max="13830" width="16.5703125" style="439" customWidth="1"/>
    <col min="13831" max="13831" width="14.140625" style="439" customWidth="1"/>
    <col min="13832" max="13832" width="25.42578125" style="439" customWidth="1"/>
    <col min="13833" max="14080" width="9.140625" style="439"/>
    <col min="14081" max="14081" width="16.7109375" style="439" customWidth="1"/>
    <col min="14082" max="14082" width="8.28515625" style="439" customWidth="1"/>
    <col min="14083" max="14083" width="22.5703125" style="439" customWidth="1"/>
    <col min="14084" max="14084" width="14.5703125" style="439" customWidth="1"/>
    <col min="14085" max="14085" width="14.7109375" style="439" customWidth="1"/>
    <col min="14086" max="14086" width="16.5703125" style="439" customWidth="1"/>
    <col min="14087" max="14087" width="14.140625" style="439" customWidth="1"/>
    <col min="14088" max="14088" width="25.42578125" style="439" customWidth="1"/>
    <col min="14089" max="14336" width="9.140625" style="439"/>
    <col min="14337" max="14337" width="16.7109375" style="439" customWidth="1"/>
    <col min="14338" max="14338" width="8.28515625" style="439" customWidth="1"/>
    <col min="14339" max="14339" width="22.5703125" style="439" customWidth="1"/>
    <col min="14340" max="14340" width="14.5703125" style="439" customWidth="1"/>
    <col min="14341" max="14341" width="14.7109375" style="439" customWidth="1"/>
    <col min="14342" max="14342" width="16.5703125" style="439" customWidth="1"/>
    <col min="14343" max="14343" width="14.140625" style="439" customWidth="1"/>
    <col min="14344" max="14344" width="25.42578125" style="439" customWidth="1"/>
    <col min="14345" max="14592" width="9.140625" style="439"/>
    <col min="14593" max="14593" width="16.7109375" style="439" customWidth="1"/>
    <col min="14594" max="14594" width="8.28515625" style="439" customWidth="1"/>
    <col min="14595" max="14595" width="22.5703125" style="439" customWidth="1"/>
    <col min="14596" max="14596" width="14.5703125" style="439" customWidth="1"/>
    <col min="14597" max="14597" width="14.7109375" style="439" customWidth="1"/>
    <col min="14598" max="14598" width="16.5703125" style="439" customWidth="1"/>
    <col min="14599" max="14599" width="14.140625" style="439" customWidth="1"/>
    <col min="14600" max="14600" width="25.42578125" style="439" customWidth="1"/>
    <col min="14601" max="14848" width="9.140625" style="439"/>
    <col min="14849" max="14849" width="16.7109375" style="439" customWidth="1"/>
    <col min="14850" max="14850" width="8.28515625" style="439" customWidth="1"/>
    <col min="14851" max="14851" width="22.5703125" style="439" customWidth="1"/>
    <col min="14852" max="14852" width="14.5703125" style="439" customWidth="1"/>
    <col min="14853" max="14853" width="14.7109375" style="439" customWidth="1"/>
    <col min="14854" max="14854" width="16.5703125" style="439" customWidth="1"/>
    <col min="14855" max="14855" width="14.140625" style="439" customWidth="1"/>
    <col min="14856" max="14856" width="25.42578125" style="439" customWidth="1"/>
    <col min="14857" max="15104" width="9.140625" style="439"/>
    <col min="15105" max="15105" width="16.7109375" style="439" customWidth="1"/>
    <col min="15106" max="15106" width="8.28515625" style="439" customWidth="1"/>
    <col min="15107" max="15107" width="22.5703125" style="439" customWidth="1"/>
    <col min="15108" max="15108" width="14.5703125" style="439" customWidth="1"/>
    <col min="15109" max="15109" width="14.7109375" style="439" customWidth="1"/>
    <col min="15110" max="15110" width="16.5703125" style="439" customWidth="1"/>
    <col min="15111" max="15111" width="14.140625" style="439" customWidth="1"/>
    <col min="15112" max="15112" width="25.42578125" style="439" customWidth="1"/>
    <col min="15113" max="15360" width="9.140625" style="439"/>
    <col min="15361" max="15361" width="16.7109375" style="439" customWidth="1"/>
    <col min="15362" max="15362" width="8.28515625" style="439" customWidth="1"/>
    <col min="15363" max="15363" width="22.5703125" style="439" customWidth="1"/>
    <col min="15364" max="15364" width="14.5703125" style="439" customWidth="1"/>
    <col min="15365" max="15365" width="14.7109375" style="439" customWidth="1"/>
    <col min="15366" max="15366" width="16.5703125" style="439" customWidth="1"/>
    <col min="15367" max="15367" width="14.140625" style="439" customWidth="1"/>
    <col min="15368" max="15368" width="25.42578125" style="439" customWidth="1"/>
    <col min="15369" max="15616" width="9.140625" style="439"/>
    <col min="15617" max="15617" width="16.7109375" style="439" customWidth="1"/>
    <col min="15618" max="15618" width="8.28515625" style="439" customWidth="1"/>
    <col min="15619" max="15619" width="22.5703125" style="439" customWidth="1"/>
    <col min="15620" max="15620" width="14.5703125" style="439" customWidth="1"/>
    <col min="15621" max="15621" width="14.7109375" style="439" customWidth="1"/>
    <col min="15622" max="15622" width="16.5703125" style="439" customWidth="1"/>
    <col min="15623" max="15623" width="14.140625" style="439" customWidth="1"/>
    <col min="15624" max="15624" width="25.42578125" style="439" customWidth="1"/>
    <col min="15625" max="15872" width="9.140625" style="439"/>
    <col min="15873" max="15873" width="16.7109375" style="439" customWidth="1"/>
    <col min="15874" max="15874" width="8.28515625" style="439" customWidth="1"/>
    <col min="15875" max="15875" width="22.5703125" style="439" customWidth="1"/>
    <col min="15876" max="15876" width="14.5703125" style="439" customWidth="1"/>
    <col min="15877" max="15877" width="14.7109375" style="439" customWidth="1"/>
    <col min="15878" max="15878" width="16.5703125" style="439" customWidth="1"/>
    <col min="15879" max="15879" width="14.140625" style="439" customWidth="1"/>
    <col min="15880" max="15880" width="25.42578125" style="439" customWidth="1"/>
    <col min="15881" max="16128" width="9.140625" style="439"/>
    <col min="16129" max="16129" width="16.7109375" style="439" customWidth="1"/>
    <col min="16130" max="16130" width="8.28515625" style="439" customWidth="1"/>
    <col min="16131" max="16131" width="22.5703125" style="439" customWidth="1"/>
    <col min="16132" max="16132" width="14.5703125" style="439" customWidth="1"/>
    <col min="16133" max="16133" width="14.7109375" style="439" customWidth="1"/>
    <col min="16134" max="16134" width="16.5703125" style="439" customWidth="1"/>
    <col min="16135" max="16135" width="14.140625" style="439" customWidth="1"/>
    <col min="16136" max="16136" width="25.42578125" style="439" customWidth="1"/>
    <col min="16137" max="16384" width="9.140625" style="439"/>
  </cols>
  <sheetData>
    <row r="1" spans="1:20" ht="19.5">
      <c r="A1" s="436" t="s">
        <v>1295</v>
      </c>
      <c r="B1" s="437"/>
      <c r="C1" s="438"/>
      <c r="D1" s="437"/>
      <c r="E1" s="436" t="s">
        <v>1276</v>
      </c>
    </row>
    <row r="2" spans="1:20" ht="19.5">
      <c r="A2" s="436" t="str">
        <f>[3]URBAN!A3</f>
        <v>Quarter : IV</v>
      </c>
      <c r="B2" s="437"/>
      <c r="C2" s="440" t="s">
        <v>1296</v>
      </c>
      <c r="D2" s="437"/>
      <c r="E2" s="437"/>
    </row>
    <row r="3" spans="1:20" ht="19.5">
      <c r="A3" s="436" t="str">
        <f>[3]URBAN!A5</f>
        <v>Year :2020-21</v>
      </c>
      <c r="B3" s="441"/>
      <c r="C3" s="442"/>
      <c r="D3" s="437"/>
      <c r="E3" s="437"/>
    </row>
    <row r="4" spans="1:20" ht="18">
      <c r="A4" s="443" t="s">
        <v>1297</v>
      </c>
    </row>
    <row r="5" spans="1:20" ht="17.25" customHeight="1">
      <c r="A5" s="523" t="s">
        <v>1298</v>
      </c>
      <c r="B5" s="524"/>
      <c r="C5" s="524"/>
      <c r="D5" s="524"/>
      <c r="E5" s="524"/>
      <c r="F5" s="524"/>
      <c r="G5" s="524"/>
      <c r="H5" s="525"/>
    </row>
    <row r="6" spans="1:20" ht="18.75" customHeight="1">
      <c r="A6" s="526" t="s">
        <v>1299</v>
      </c>
      <c r="B6" s="527"/>
      <c r="C6" s="527"/>
      <c r="D6" s="527"/>
      <c r="E6" s="527"/>
      <c r="F6" s="527"/>
      <c r="G6" s="527"/>
      <c r="H6" s="528"/>
    </row>
    <row r="7" spans="1:20" s="449" customFormat="1" ht="87" customHeight="1">
      <c r="A7" s="444"/>
      <c r="B7" s="445"/>
      <c r="C7" s="446" t="s">
        <v>1300</v>
      </c>
      <c r="D7" s="446" t="s">
        <v>1301</v>
      </c>
      <c r="E7" s="447" t="str">
        <f>[3]URBAN!E12</f>
        <v>% loss during current period  ( IV Quarter 20-21)</v>
      </c>
      <c r="F7" s="447" t="str">
        <f>[3]URBAN!F12</f>
        <v xml:space="preserve">% loss during previous period  (IV Quarter 19-20) </v>
      </c>
      <c r="G7" s="447" t="str">
        <f>[3]URBAN!G12</f>
        <v xml:space="preserve">No. of feedres where losses increased in current period </v>
      </c>
      <c r="H7" s="448" t="s">
        <v>1302</v>
      </c>
    </row>
    <row r="8" spans="1:20" ht="21" customHeight="1">
      <c r="A8" s="450" t="s">
        <v>1303</v>
      </c>
      <c r="B8" s="451">
        <v>1</v>
      </c>
      <c r="C8" s="452">
        <v>8</v>
      </c>
      <c r="D8" s="452">
        <v>52</v>
      </c>
      <c r="E8" s="453">
        <v>2.64</v>
      </c>
      <c r="F8" s="453">
        <v>-7.85</v>
      </c>
      <c r="G8" s="452">
        <v>36</v>
      </c>
      <c r="H8" s="529" t="s">
        <v>1304</v>
      </c>
    </row>
    <row r="9" spans="1:20" s="456" customFormat="1" ht="21" customHeight="1">
      <c r="A9" s="450" t="s">
        <v>1305</v>
      </c>
      <c r="B9" s="451">
        <v>2</v>
      </c>
      <c r="C9" s="454">
        <v>4</v>
      </c>
      <c r="D9" s="454">
        <v>216</v>
      </c>
      <c r="E9" s="455">
        <v>1.95</v>
      </c>
      <c r="F9" s="455">
        <v>-6.25</v>
      </c>
      <c r="G9" s="454">
        <v>161</v>
      </c>
      <c r="H9" s="530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</row>
    <row r="10" spans="1:20" ht="21" customHeight="1">
      <c r="A10" s="450" t="s">
        <v>1306</v>
      </c>
      <c r="B10" s="451">
        <v>3</v>
      </c>
      <c r="C10" s="451">
        <v>17</v>
      </c>
      <c r="D10" s="451">
        <v>48</v>
      </c>
      <c r="E10" s="457">
        <v>4.97</v>
      </c>
      <c r="F10" s="458">
        <v>-0.26</v>
      </c>
      <c r="G10" s="451">
        <v>31</v>
      </c>
      <c r="H10" s="530"/>
    </row>
    <row r="11" spans="1:20" ht="21" customHeight="1">
      <c r="A11" s="459" t="s">
        <v>1307</v>
      </c>
      <c r="B11" s="460">
        <v>4</v>
      </c>
      <c r="C11" s="454">
        <v>17</v>
      </c>
      <c r="D11" s="454">
        <v>113</v>
      </c>
      <c r="E11" s="455">
        <v>5.0406213177883972</v>
      </c>
      <c r="F11" s="455">
        <v>-6.0416468823378384</v>
      </c>
      <c r="G11" s="454">
        <v>103</v>
      </c>
      <c r="H11" s="530"/>
    </row>
    <row r="12" spans="1:20" s="464" customFormat="1" ht="21" customHeight="1">
      <c r="A12" s="461" t="s">
        <v>1276</v>
      </c>
      <c r="B12" s="462" t="s">
        <v>1287</v>
      </c>
      <c r="C12" s="462">
        <f>SUM(C8:C11)</f>
        <v>46</v>
      </c>
      <c r="D12" s="462">
        <f>SUM(D8:D11)</f>
        <v>429</v>
      </c>
      <c r="E12" s="463">
        <v>3.22</v>
      </c>
      <c r="F12" s="463">
        <v>-6.4</v>
      </c>
      <c r="G12" s="462">
        <f>SUM(G8:G11)</f>
        <v>331</v>
      </c>
      <c r="H12" s="530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</row>
    <row r="13" spans="1:20" ht="18">
      <c r="A13" s="531" t="s">
        <v>1308</v>
      </c>
      <c r="B13" s="532"/>
      <c r="C13" s="532"/>
      <c r="D13" s="532"/>
      <c r="E13" s="532"/>
      <c r="F13" s="532"/>
      <c r="G13" s="532"/>
      <c r="H13" s="533"/>
    </row>
    <row r="14" spans="1:20" ht="82.5">
      <c r="A14" s="444"/>
      <c r="B14" s="445"/>
      <c r="C14" s="446" t="s">
        <v>1300</v>
      </c>
      <c r="D14" s="446" t="s">
        <v>1301</v>
      </c>
      <c r="E14" s="447" t="str">
        <f>[3]URBAN!E12</f>
        <v>% loss during current period  ( IV Quarter 20-21)</v>
      </c>
      <c r="F14" s="447" t="str">
        <f>[3]URBAN!F12</f>
        <v xml:space="preserve">% loss during previous period  (IV Quarter 19-20) </v>
      </c>
      <c r="G14" s="447" t="str">
        <f>[3]URBAN!G12</f>
        <v xml:space="preserve">No. of feedres where losses increased in current period </v>
      </c>
      <c r="H14" s="448" t="s">
        <v>1302</v>
      </c>
    </row>
    <row r="15" spans="1:20" ht="23.25" customHeight="1">
      <c r="A15" s="450" t="s">
        <v>1303</v>
      </c>
      <c r="B15" s="451">
        <v>1</v>
      </c>
      <c r="C15" s="465">
        <v>10</v>
      </c>
      <c r="D15" s="465">
        <v>62</v>
      </c>
      <c r="E15" s="457">
        <v>7.0000000000000007E-2</v>
      </c>
      <c r="F15" s="457">
        <v>-8.9700000000000006</v>
      </c>
      <c r="G15" s="465">
        <v>55</v>
      </c>
      <c r="H15" s="529" t="s">
        <v>1304</v>
      </c>
    </row>
    <row r="16" spans="1:20" ht="23.25" customHeight="1">
      <c r="A16" s="450" t="s">
        <v>1305</v>
      </c>
      <c r="B16" s="451">
        <v>2</v>
      </c>
      <c r="C16" s="465">
        <v>0</v>
      </c>
      <c r="D16" s="465">
        <v>0</v>
      </c>
      <c r="E16" s="458">
        <v>0</v>
      </c>
      <c r="F16" s="458">
        <v>0</v>
      </c>
      <c r="G16" s="465">
        <v>0</v>
      </c>
      <c r="H16" s="530"/>
    </row>
    <row r="17" spans="1:8" ht="23.25" customHeight="1">
      <c r="A17" s="450" t="s">
        <v>1306</v>
      </c>
      <c r="B17" s="451">
        <v>3</v>
      </c>
      <c r="C17" s="460">
        <v>7</v>
      </c>
      <c r="D17" s="454">
        <v>32</v>
      </c>
      <c r="E17" s="455">
        <v>1.97</v>
      </c>
      <c r="F17" s="455">
        <v>-4.1100000000000003</v>
      </c>
      <c r="G17" s="454">
        <v>29</v>
      </c>
      <c r="H17" s="530"/>
    </row>
    <row r="18" spans="1:8" ht="23.25" customHeight="1">
      <c r="A18" s="459" t="s">
        <v>1307</v>
      </c>
      <c r="B18" s="460">
        <v>4</v>
      </c>
      <c r="C18" s="465">
        <v>2</v>
      </c>
      <c r="D18" s="465">
        <v>42</v>
      </c>
      <c r="E18" s="458">
        <v>1.017410081856277</v>
      </c>
      <c r="F18" s="458">
        <v>-8.9563404685366077</v>
      </c>
      <c r="G18" s="465">
        <v>42</v>
      </c>
      <c r="H18" s="530"/>
    </row>
    <row r="19" spans="1:8" ht="23.25" customHeight="1" thickBot="1">
      <c r="A19" s="466" t="s">
        <v>1276</v>
      </c>
      <c r="B19" s="467" t="s">
        <v>1287</v>
      </c>
      <c r="C19" s="467">
        <f>SUM(C15:C18)</f>
        <v>19</v>
      </c>
      <c r="D19" s="467">
        <f>SUM(D15:D18)</f>
        <v>136</v>
      </c>
      <c r="E19" s="468">
        <v>1.01</v>
      </c>
      <c r="F19" s="468">
        <v>-7.48</v>
      </c>
      <c r="G19" s="467">
        <f>SUM(G15:G18)</f>
        <v>126</v>
      </c>
      <c r="H19" s="534"/>
    </row>
    <row r="20" spans="1:8" ht="18" customHeight="1">
      <c r="A20" s="535" t="s">
        <v>1309</v>
      </c>
      <c r="B20" s="536"/>
      <c r="C20" s="536"/>
      <c r="D20" s="536"/>
      <c r="E20" s="536"/>
      <c r="F20" s="536"/>
      <c r="G20" s="536"/>
      <c r="H20" s="537"/>
    </row>
    <row r="21" spans="1:8" ht="82.5">
      <c r="A21" s="469"/>
      <c r="B21" s="470"/>
      <c r="C21" s="446" t="s">
        <v>1310</v>
      </c>
      <c r="D21" s="446" t="s">
        <v>1301</v>
      </c>
      <c r="E21" s="447" t="s">
        <v>1311</v>
      </c>
      <c r="F21" s="447" t="s">
        <v>1312</v>
      </c>
      <c r="G21" s="447" t="s">
        <v>1313</v>
      </c>
      <c r="H21" s="448" t="s">
        <v>1302</v>
      </c>
    </row>
    <row r="22" spans="1:8" s="471" customFormat="1" ht="19.5" customHeight="1">
      <c r="A22" s="450" t="s">
        <v>1303</v>
      </c>
      <c r="B22" s="451">
        <v>1</v>
      </c>
      <c r="C22" s="465">
        <v>26</v>
      </c>
      <c r="D22" s="465">
        <v>89</v>
      </c>
      <c r="E22" s="457">
        <v>13.91</v>
      </c>
      <c r="F22" s="457">
        <v>6.99</v>
      </c>
      <c r="G22" s="465">
        <v>66</v>
      </c>
      <c r="H22" s="520" t="s">
        <v>1314</v>
      </c>
    </row>
    <row r="23" spans="1:8" s="471" customFormat="1" ht="19.5" customHeight="1">
      <c r="A23" s="450" t="s">
        <v>1305</v>
      </c>
      <c r="B23" s="451">
        <v>2</v>
      </c>
      <c r="C23" s="472">
        <v>4</v>
      </c>
      <c r="D23" s="465">
        <v>49</v>
      </c>
      <c r="E23" s="458">
        <v>12.298687417802947</v>
      </c>
      <c r="F23" s="458">
        <v>5.18</v>
      </c>
      <c r="G23" s="465">
        <v>36</v>
      </c>
      <c r="H23" s="521"/>
    </row>
    <row r="24" spans="1:8" s="471" customFormat="1" ht="19.5" customHeight="1">
      <c r="A24" s="450" t="s">
        <v>1306</v>
      </c>
      <c r="B24" s="451">
        <v>3</v>
      </c>
      <c r="C24" s="473">
        <v>22</v>
      </c>
      <c r="D24" s="473">
        <v>54</v>
      </c>
      <c r="E24" s="458">
        <v>15.32</v>
      </c>
      <c r="F24" s="458">
        <v>5.42</v>
      </c>
      <c r="G24" s="473">
        <v>45</v>
      </c>
      <c r="H24" s="521"/>
    </row>
    <row r="25" spans="1:8" s="471" customFormat="1" ht="19.5" customHeight="1">
      <c r="A25" s="459" t="s">
        <v>1307</v>
      </c>
      <c r="B25" s="460">
        <v>4</v>
      </c>
      <c r="C25" s="472">
        <v>31</v>
      </c>
      <c r="D25" s="465">
        <v>138</v>
      </c>
      <c r="E25" s="458">
        <v>13.092803250535558</v>
      </c>
      <c r="F25" s="458">
        <v>3.744381560786493</v>
      </c>
      <c r="G25" s="465">
        <v>100</v>
      </c>
      <c r="H25" s="521"/>
    </row>
    <row r="26" spans="1:8" s="471" customFormat="1" ht="19.5" customHeight="1" thickBot="1">
      <c r="A26" s="466" t="s">
        <v>1276</v>
      </c>
      <c r="B26" s="467" t="s">
        <v>1287</v>
      </c>
      <c r="C26" s="467">
        <f>SUM(C22:C25)</f>
        <v>83</v>
      </c>
      <c r="D26" s="467">
        <f>SUM(D22:D25)</f>
        <v>330</v>
      </c>
      <c r="E26" s="468">
        <v>13.39</v>
      </c>
      <c r="F26" s="468">
        <v>4.93</v>
      </c>
      <c r="G26" s="467">
        <f>SUM(G22:G25)</f>
        <v>247</v>
      </c>
      <c r="H26" s="522"/>
    </row>
  </sheetData>
  <mergeCells count="7">
    <mergeCell ref="H22:H26"/>
    <mergeCell ref="A5:H5"/>
    <mergeCell ref="A6:H6"/>
    <mergeCell ref="H8:H12"/>
    <mergeCell ref="A13:H13"/>
    <mergeCell ref="H15:H19"/>
    <mergeCell ref="A20:H20"/>
  </mergeCells>
  <pageMargins left="0.5" right="0.2" top="0.74803149606299213" bottom="0.74803149606299213" header="0.35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Glance</vt:lpstr>
      <vt:lpstr>REVENUE DATA </vt:lpstr>
      <vt:lpstr>Trail Balance</vt:lpstr>
      <vt:lpstr>Financial Data </vt:lpstr>
      <vt:lpstr>Meter Testing</vt:lpstr>
      <vt:lpstr>T&amp;D</vt:lpstr>
      <vt:lpstr>'Financial Data '!Print_Area</vt:lpstr>
      <vt:lpstr>Glance!Print_Area</vt:lpstr>
      <vt:lpstr>'REVENUE DATA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DGC&amp;R</cp:lastModifiedBy>
  <cp:lastPrinted>2021-10-05T09:27:47Z</cp:lastPrinted>
  <dcterms:created xsi:type="dcterms:W3CDTF">1996-10-14T23:33:28Z</dcterms:created>
  <dcterms:modified xsi:type="dcterms:W3CDTF">2021-10-05T10:06:05Z</dcterms:modified>
</cp:coreProperties>
</file>