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490" windowHeight="7755" activeTab="6"/>
  </bookViews>
  <sheets>
    <sheet name="SHEET-1" sheetId="24" r:id="rId1"/>
    <sheet name="SHEET-2" sheetId="25" r:id="rId2"/>
    <sheet name="SHEET-3" sheetId="26" r:id="rId3"/>
    <sheet name="SHEET-4" sheetId="32" r:id="rId4"/>
    <sheet name="SHEET-5" sheetId="33" r:id="rId5"/>
    <sheet name="SHEET-6" sheetId="30" r:id="rId6"/>
    <sheet name="SHEET-7" sheetId="31" r:id="rId7"/>
    <sheet name="Sheet1" sheetId="34" state="hidden" r:id="rId8"/>
    <sheet name="T&amp;D" sheetId="35" r:id="rId9"/>
    <sheet name="LAB" sheetId="36" r:id="rId10"/>
  </sheets>
  <definedNames>
    <definedName name="_xlnm.Print_Area" localSheetId="0">'SHEET-1'!$A$1:$I$44</definedName>
    <definedName name="_xlnm.Print_Area" localSheetId="2">'SHEET-3'!$A$1:$I$42</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8">'T&amp;D'!$A$1:$L$30</definedName>
  </definedNames>
  <calcPr calcId="124519"/>
</workbook>
</file>

<file path=xl/calcChain.xml><?xml version="1.0" encoding="utf-8"?>
<calcChain xmlns="http://schemas.openxmlformats.org/spreadsheetml/2006/main">
  <c r="D29" i="35"/>
  <c r="K20"/>
  <c r="D20"/>
  <c r="H13"/>
  <c r="H22" s="1"/>
  <c r="D13"/>
  <c r="D22" s="1"/>
  <c r="D11"/>
  <c r="I11" i="36"/>
  <c r="H11"/>
  <c r="G11"/>
  <c r="F11"/>
  <c r="E11"/>
  <c r="H7"/>
  <c r="F7"/>
  <c r="D29" i="32" l="1"/>
  <c r="E29"/>
  <c r="F38"/>
  <c r="G14" i="33"/>
  <c r="F28" i="26"/>
  <c r="D11" i="31"/>
  <c r="D12"/>
  <c r="F27" i="26"/>
  <c r="D21"/>
  <c r="F18"/>
  <c r="D26" i="31"/>
  <c r="E26"/>
  <c r="D24"/>
  <c r="D23"/>
  <c r="G16" i="26"/>
  <c r="F16"/>
  <c r="C14" i="31" l="1"/>
  <c r="C13"/>
  <c r="C11"/>
  <c r="D23" i="33" l="1"/>
  <c r="D21"/>
  <c r="D19"/>
  <c r="D18"/>
  <c r="D14"/>
  <c r="D38" i="32"/>
  <c r="D36"/>
  <c r="D34"/>
  <c r="D33"/>
  <c r="D32" i="26"/>
  <c r="D15"/>
  <c r="D35" i="24"/>
  <c r="D27"/>
  <c r="D17"/>
  <c r="D32" i="30" l="1"/>
  <c r="E31"/>
  <c r="E30"/>
  <c r="E32" s="1"/>
  <c r="E17"/>
  <c r="D17"/>
  <c r="E16"/>
  <c r="E15"/>
  <c r="D23" i="32"/>
  <c r="E23" s="1"/>
  <c r="D22"/>
  <c r="E22" s="1"/>
  <c r="E21"/>
  <c r="E19"/>
  <c r="E18"/>
  <c r="E16"/>
  <c r="E15"/>
  <c r="E14"/>
  <c r="E17" s="1"/>
  <c r="D14"/>
  <c r="D17" s="1"/>
  <c r="D24" l="1"/>
  <c r="E24" s="1"/>
  <c r="D25" l="1"/>
  <c r="E25" s="1"/>
  <c r="G37" l="1"/>
  <c r="G39" s="1"/>
  <c r="F36"/>
  <c r="F34"/>
  <c r="F33"/>
  <c r="F37" s="1"/>
  <c r="F39" s="1"/>
  <c r="G30"/>
  <c r="G32" s="1"/>
  <c r="G40" s="1"/>
  <c r="F29"/>
  <c r="F32" s="1"/>
  <c r="F32" i="26"/>
  <c r="F25"/>
  <c r="F20"/>
  <c r="F15"/>
  <c r="F35" i="24"/>
  <c r="G23" i="33"/>
  <c r="F23"/>
  <c r="G21"/>
  <c r="F21"/>
  <c r="G19"/>
  <c r="F19"/>
  <c r="G18"/>
  <c r="G22" s="1"/>
  <c r="G24" s="1"/>
  <c r="F18"/>
  <c r="F22" s="1"/>
  <c r="F24" s="1"/>
  <c r="G17"/>
  <c r="F14"/>
  <c r="F17" s="1"/>
  <c r="F25" s="1"/>
  <c r="F27" i="24"/>
  <c r="F25"/>
  <c r="F26" s="1"/>
  <c r="F28" s="1"/>
  <c r="F29" s="1"/>
  <c r="G22"/>
  <c r="G25" s="1"/>
  <c r="G26" s="1"/>
  <c r="G28" s="1"/>
  <c r="G29" s="1"/>
  <c r="F17"/>
  <c r="F22" s="1"/>
  <c r="D33" i="31"/>
  <c r="D14"/>
  <c r="D15"/>
  <c r="G25" i="33" l="1"/>
  <c r="D35" i="31"/>
  <c r="F40" i="32"/>
  <c r="G32" i="24" l="1"/>
  <c r="F32" s="1"/>
  <c r="E25" i="26"/>
  <c r="D25" s="1"/>
  <c r="G25"/>
  <c r="G21"/>
  <c r="F21" s="1"/>
  <c r="I25" l="1"/>
  <c r="F38" i="33"/>
  <c r="F29"/>
  <c r="H25" i="26" l="1"/>
  <c r="F48" i="24" l="1"/>
  <c r="E48"/>
  <c r="D48"/>
  <c r="G17" i="26" l="1"/>
  <c r="F17" s="1"/>
  <c r="G18"/>
  <c r="G19"/>
  <c r="F19" s="1"/>
  <c r="G20"/>
  <c r="G53" i="30" l="1"/>
  <c r="G51"/>
  <c r="G49"/>
  <c r="G48"/>
  <c r="G44"/>
  <c r="D53"/>
  <c r="D51"/>
  <c r="D49"/>
  <c r="D48"/>
  <c r="E49"/>
  <c r="E48"/>
  <c r="E53"/>
  <c r="E51"/>
  <c r="G28" i="26" l="1"/>
  <c r="G27"/>
  <c r="G22"/>
  <c r="F22" s="1"/>
  <c r="G38" i="33"/>
  <c r="G36"/>
  <c r="G34"/>
  <c r="G33"/>
  <c r="E16" i="26"/>
  <c r="D16" s="1"/>
  <c r="E28" l="1"/>
  <c r="D28" s="1"/>
  <c r="E27"/>
  <c r="D27" s="1"/>
  <c r="E26"/>
  <c r="D26" s="1"/>
  <c r="E22"/>
  <c r="D22" s="1"/>
  <c r="E21"/>
  <c r="E20"/>
  <c r="D20" s="1"/>
  <c r="E19"/>
  <c r="D19" s="1"/>
  <c r="E18"/>
  <c r="D18" s="1"/>
  <c r="E17"/>
  <c r="D17" s="1"/>
  <c r="E22" i="33"/>
  <c r="E24" s="1"/>
  <c r="D29" i="26" l="1"/>
  <c r="E29"/>
  <c r="H22"/>
  <c r="I22"/>
  <c r="F34"/>
  <c r="G29" i="33"/>
  <c r="G31"/>
  <c r="F33"/>
  <c r="F34"/>
  <c r="F36"/>
  <c r="G37" i="24"/>
  <c r="F37"/>
  <c r="G54" i="30" l="1"/>
  <c r="G52"/>
  <c r="G39" i="33"/>
  <c r="G37"/>
  <c r="F23" i="26"/>
  <c r="F30" s="1"/>
  <c r="G23"/>
  <c r="G30" s="1"/>
  <c r="F32" i="33"/>
  <c r="G47" i="30"/>
  <c r="F37" i="33" l="1"/>
  <c r="F39"/>
  <c r="G55" i="30"/>
  <c r="G32" i="33"/>
  <c r="F34" i="24" l="1"/>
  <c r="F38" s="1"/>
  <c r="G34"/>
  <c r="G38" s="1"/>
  <c r="G40" i="33"/>
  <c r="G26" i="26" l="1"/>
  <c r="F26" s="1"/>
  <c r="D25" i="24"/>
  <c r="F29" i="26" l="1"/>
  <c r="H29" s="1"/>
  <c r="G29"/>
  <c r="I29" s="1"/>
  <c r="D26" i="24"/>
  <c r="F14" i="25"/>
  <c r="F14" i="26" s="1"/>
  <c r="F13" i="32" s="1"/>
  <c r="F13" i="33" s="1"/>
  <c r="F13" i="30" s="1"/>
  <c r="D14" i="25"/>
  <c r="D14" i="26" s="1"/>
  <c r="D13" i="32" s="1"/>
  <c r="D13" i="33" s="1"/>
  <c r="D13" i="30" s="1"/>
  <c r="F21" i="25" l="1"/>
  <c r="G21"/>
  <c r="G16"/>
  <c r="F16"/>
  <c r="E34" i="26" l="1"/>
  <c r="E33"/>
  <c r="E30" i="32" l="1"/>
  <c r="E37" i="24"/>
  <c r="D37"/>
  <c r="D28"/>
  <c r="D29" s="1"/>
  <c r="E22"/>
  <c r="D22"/>
  <c r="D16" i="25" s="1"/>
  <c r="H15" i="32"/>
  <c r="E16" i="25" l="1"/>
  <c r="E25" i="24"/>
  <c r="E26" s="1"/>
  <c r="E28" s="1"/>
  <c r="E29" s="1"/>
  <c r="D23" i="26"/>
  <c r="D21" i="25" s="1"/>
  <c r="E23" i="26" l="1"/>
  <c r="E21" i="25" s="1"/>
  <c r="P32" i="33"/>
  <c r="E11" i="31"/>
  <c r="P30" i="33"/>
  <c r="P31"/>
  <c r="P33"/>
  <c r="P34"/>
  <c r="P35"/>
  <c r="P36"/>
  <c r="P38"/>
  <c r="P29"/>
  <c r="Q29"/>
  <c r="G24" i="25"/>
  <c r="P37" i="33" l="1"/>
  <c r="F24" i="25"/>
  <c r="E17" i="33"/>
  <c r="D22"/>
  <c r="E37" i="32"/>
  <c r="E32"/>
  <c r="D32"/>
  <c r="E30" i="26"/>
  <c r="H21"/>
  <c r="D44" i="30"/>
  <c r="E44"/>
  <c r="I21" i="26"/>
  <c r="I29" i="24"/>
  <c r="E39" i="32" l="1"/>
  <c r="E54" i="30" s="1"/>
  <c r="E52"/>
  <c r="E47"/>
  <c r="P39" i="33"/>
  <c r="E32"/>
  <c r="E24" i="25" s="1"/>
  <c r="P40" i="33"/>
  <c r="E25"/>
  <c r="E32" i="24" s="1"/>
  <c r="D32" s="1"/>
  <c r="H22" i="30"/>
  <c r="H23"/>
  <c r="H24"/>
  <c r="H25"/>
  <c r="H21"/>
  <c r="H15"/>
  <c r="H17"/>
  <c r="H18"/>
  <c r="C33" i="31"/>
  <c r="C15"/>
  <c r="H29" i="24"/>
  <c r="F44" i="30"/>
  <c r="E40" i="32" l="1"/>
  <c r="E55" i="30" s="1"/>
  <c r="C35" i="31"/>
  <c r="E35" s="1"/>
  <c r="E46" i="30"/>
  <c r="D38" i="33"/>
  <c r="D36"/>
  <c r="D34"/>
  <c r="D33"/>
  <c r="D29"/>
  <c r="E34"/>
  <c r="E33"/>
  <c r="D17"/>
  <c r="E29"/>
  <c r="E36"/>
  <c r="D37" i="32"/>
  <c r="D52" i="30" s="1"/>
  <c r="D47"/>
  <c r="F53"/>
  <c r="F51"/>
  <c r="F49"/>
  <c r="F47"/>
  <c r="F48"/>
  <c r="F25" i="25"/>
  <c r="F40" i="33"/>
  <c r="F26" i="25" s="1"/>
  <c r="E38" i="33" l="1"/>
  <c r="D39" i="32"/>
  <c r="E37" i="33"/>
  <c r="D32"/>
  <c r="D24" i="25" s="1"/>
  <c r="F54" i="30"/>
  <c r="F52"/>
  <c r="G25" i="25"/>
  <c r="G26"/>
  <c r="D54" i="30" l="1"/>
  <c r="F55"/>
  <c r="D40" i="32"/>
  <c r="E39" i="33"/>
  <c r="E25" i="25" s="1"/>
  <c r="D55" i="30" l="1"/>
  <c r="I55"/>
  <c r="E40" i="33"/>
  <c r="E26" i="25" s="1"/>
  <c r="H58" i="26"/>
  <c r="E67" i="32" l="1"/>
  <c r="D67"/>
  <c r="F66"/>
  <c r="F65"/>
  <c r="F67" l="1"/>
  <c r="D68" i="30" l="1"/>
  <c r="G58" i="26" l="1"/>
  <c r="F58"/>
  <c r="E58"/>
  <c r="D57"/>
  <c r="I28" l="1"/>
  <c r="I27"/>
  <c r="E25" i="31"/>
  <c r="I19" i="26"/>
  <c r="H18"/>
  <c r="E29" i="31"/>
  <c r="E23"/>
  <c r="N30" i="33"/>
  <c r="O30"/>
  <c r="N31"/>
  <c r="O31"/>
  <c r="N33"/>
  <c r="O33"/>
  <c r="N34"/>
  <c r="O34"/>
  <c r="N35"/>
  <c r="O35"/>
  <c r="N36"/>
  <c r="O36"/>
  <c r="N38"/>
  <c r="O38"/>
  <c r="O29"/>
  <c r="N29"/>
  <c r="O37"/>
  <c r="H21" i="25"/>
  <c r="H17" i="26"/>
  <c r="I28" i="24"/>
  <c r="H22"/>
  <c r="H25"/>
  <c r="H26"/>
  <c r="H27"/>
  <c r="H28"/>
  <c r="I38" i="33"/>
  <c r="H38"/>
  <c r="I36"/>
  <c r="H36"/>
  <c r="I34"/>
  <c r="H34"/>
  <c r="I33"/>
  <c r="H33"/>
  <c r="I30"/>
  <c r="H30"/>
  <c r="I29"/>
  <c r="H29"/>
  <c r="I23"/>
  <c r="H23"/>
  <c r="I21"/>
  <c r="H21"/>
  <c r="I19"/>
  <c r="H19"/>
  <c r="I18"/>
  <c r="H18"/>
  <c r="I15"/>
  <c r="H15"/>
  <c r="I14"/>
  <c r="H14"/>
  <c r="D67" i="26"/>
  <c r="E59" i="32"/>
  <c r="H37" i="24"/>
  <c r="H35"/>
  <c r="I35"/>
  <c r="I27"/>
  <c r="H28" i="26"/>
  <c r="I32"/>
  <c r="H32"/>
  <c r="I21" i="25"/>
  <c r="I26"/>
  <c r="I25"/>
  <c r="I24"/>
  <c r="H24"/>
  <c r="I16"/>
  <c r="H16"/>
  <c r="D59" i="32"/>
  <c r="I17" i="24"/>
  <c r="H17"/>
  <c r="H27" i="26"/>
  <c r="E14" i="31"/>
  <c r="E13"/>
  <c r="E12"/>
  <c r="I25" i="24"/>
  <c r="E19" i="31"/>
  <c r="H15" i="26"/>
  <c r="I15"/>
  <c r="H14" i="30"/>
  <c r="I14"/>
  <c r="I15"/>
  <c r="I17"/>
  <c r="I18"/>
  <c r="H19"/>
  <c r="I19"/>
  <c r="I21"/>
  <c r="I22"/>
  <c r="I23"/>
  <c r="I24"/>
  <c r="I25"/>
  <c r="H29"/>
  <c r="I29"/>
  <c r="H30"/>
  <c r="I30"/>
  <c r="H32"/>
  <c r="I32"/>
  <c r="H33"/>
  <c r="I33"/>
  <c r="H34"/>
  <c r="I34"/>
  <c r="H36"/>
  <c r="I36"/>
  <c r="H37"/>
  <c r="I37"/>
  <c r="H38"/>
  <c r="I38"/>
  <c r="H39"/>
  <c r="I39"/>
  <c r="H40"/>
  <c r="I40"/>
  <c r="H44"/>
  <c r="I44"/>
  <c r="H45"/>
  <c r="I45"/>
  <c r="H48"/>
  <c r="I48"/>
  <c r="H49"/>
  <c r="I49"/>
  <c r="H51"/>
  <c r="I51"/>
  <c r="H53"/>
  <c r="I53"/>
  <c r="H14" i="32"/>
  <c r="I14"/>
  <c r="I15"/>
  <c r="H18"/>
  <c r="I18"/>
  <c r="H19"/>
  <c r="I19"/>
  <c r="H21"/>
  <c r="I21"/>
  <c r="H23"/>
  <c r="I23"/>
  <c r="H29"/>
  <c r="I29"/>
  <c r="H30"/>
  <c r="I30"/>
  <c r="H33"/>
  <c r="I33"/>
  <c r="H34"/>
  <c r="I34"/>
  <c r="H36"/>
  <c r="I36"/>
  <c r="I38"/>
  <c r="I22" i="24"/>
  <c r="H32" i="32"/>
  <c r="I22"/>
  <c r="I17"/>
  <c r="H22"/>
  <c r="H37"/>
  <c r="I37"/>
  <c r="H38"/>
  <c r="H17"/>
  <c r="I17" i="33"/>
  <c r="H17"/>
  <c r="I22"/>
  <c r="I24" l="1"/>
  <c r="I25"/>
  <c r="I25" i="32"/>
  <c r="I24"/>
  <c r="H24"/>
  <c r="H25"/>
  <c r="H19" i="26"/>
  <c r="I39" i="32"/>
  <c r="O39" i="33"/>
  <c r="I37" i="24"/>
  <c r="N32" i="33"/>
  <c r="E28" i="31"/>
  <c r="I20" i="26"/>
  <c r="I18"/>
  <c r="I16"/>
  <c r="E24" i="31"/>
  <c r="H16" i="26"/>
  <c r="H20"/>
  <c r="I17"/>
  <c r="I26" i="24"/>
  <c r="I30" i="26" l="1"/>
  <c r="I32" i="33"/>
  <c r="H32"/>
  <c r="I52" i="30"/>
  <c r="H52"/>
  <c r="I47"/>
  <c r="H47"/>
  <c r="I37" i="33"/>
  <c r="I32" i="32"/>
  <c r="O32" i="33"/>
  <c r="H39" i="32"/>
  <c r="I23" i="26"/>
  <c r="I39" i="33" l="1"/>
  <c r="I54" i="30"/>
  <c r="H54"/>
  <c r="O40" i="33"/>
  <c r="I40" i="32"/>
  <c r="F58"/>
  <c r="F57"/>
  <c r="H40"/>
  <c r="E33" i="31"/>
  <c r="H55" i="30" l="1"/>
  <c r="I40" i="33"/>
  <c r="E15" i="31" l="1"/>
  <c r="I26" i="26"/>
  <c r="N37" i="33"/>
  <c r="H22"/>
  <c r="D37"/>
  <c r="H37" s="1"/>
  <c r="D24"/>
  <c r="H24" s="1"/>
  <c r="D39" l="1"/>
  <c r="N39"/>
  <c r="D25"/>
  <c r="H26" i="26" l="1"/>
  <c r="H39" i="33"/>
  <c r="D25" i="25"/>
  <c r="H25" s="1"/>
  <c r="H25" i="33"/>
  <c r="D40"/>
  <c r="N40"/>
  <c r="H23" i="26"/>
  <c r="D30"/>
  <c r="H30" s="1"/>
  <c r="D34" i="24" l="1"/>
  <c r="H32"/>
  <c r="H40" i="33"/>
  <c r="D26" i="25"/>
  <c r="H26" s="1"/>
  <c r="D38" i="24" l="1"/>
  <c r="H38" s="1"/>
  <c r="H34"/>
  <c r="E34"/>
  <c r="I32"/>
  <c r="E38" l="1"/>
  <c r="I38" s="1"/>
  <c r="I34"/>
</calcChain>
</file>

<file path=xl/sharedStrings.xml><?xml version="1.0" encoding="utf-8"?>
<sst xmlns="http://schemas.openxmlformats.org/spreadsheetml/2006/main" count="667" uniqueCount="291">
  <si>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</si>
  <si>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</si>
  <si>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</si>
  <si>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</si>
  <si>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</si>
  <si>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</si>
  <si>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</si>
  <si>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</si>
  <si>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</si>
  <si>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</si>
  <si>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</si>
  <si>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</si>
  <si>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</si>
  <si>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</si>
  <si>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</si>
  <si>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</si>
  <si>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</si>
  <si>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</si>
  <si>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</si>
  <si>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</si>
  <si>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</si>
  <si>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</si>
  <si>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</si>
  <si>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</si>
  <si>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</si>
  <si>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</si>
  <si>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</si>
  <si>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</si>
  <si>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</si>
  <si>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</si>
  <si>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</si>
  <si>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</si>
  <si>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</si>
  <si>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</si>
  <si>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</si>
  <si>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</si>
  <si>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</si>
  <si>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</si>
  <si>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</si>
  <si>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</si>
  <si>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</si>
  <si>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</si>
  <si>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</si>
  <si>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</si>
  <si>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</si>
  <si>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</si>
  <si>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</si>
  <si>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</si>
  <si>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</si>
  <si>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</si>
  <si>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</si>
  <si>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</si>
  <si>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</si>
  <si>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</si>
  <si>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</si>
  <si>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</si>
  <si>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</si>
  <si>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</si>
  <si>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</si>
  <si>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</si>
  <si>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</si>
  <si>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</si>
  <si>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</si>
  <si>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</si>
  <si>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</si>
  <si>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</si>
  <si>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</si>
  <si>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</si>
  <si>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</si>
  <si>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</si>
  <si>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</si>
  <si>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</si>
  <si>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</si>
  <si>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</si>
  <si>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</si>
  <si>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</si>
  <si>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</si>
  <si>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</si>
  <si>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</si>
  <si>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</si>
  <si>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</si>
  <si>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</si>
  <si>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</si>
  <si>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</si>
  <si>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</si>
  <si>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</si>
  <si>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</si>
  <si>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</si>
  <si>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</si>
  <si>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</si>
  <si>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</si>
  <si>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</si>
  <si>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</si>
  <si>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</si>
  <si>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</si>
  <si>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</si>
  <si>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</si>
  <si>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</si>
  <si>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</si>
  <si>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</si>
  <si>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</si>
  <si>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</si>
  <si>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</si>
  <si>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</si>
  <si>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</si>
  <si>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</si>
  <si>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</si>
  <si>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</si>
  <si>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</si>
  <si>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</si>
  <si>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</si>
  <si>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</si>
  <si>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</si>
  <si>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</si>
  <si>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</si>
  <si>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</si>
  <si>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</si>
  <si>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</si>
  <si>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</si>
  <si>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</si>
  <si>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</si>
  <si>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</si>
  <si>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</si>
  <si>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</si>
  <si>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</si>
  <si>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</si>
  <si>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</si>
  <si>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</si>
  <si>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</si>
  <si>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</si>
  <si>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</si>
  <si>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</si>
  <si>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</si>
  <si>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</si>
  <si>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</si>
  <si>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</si>
  <si>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</si>
  <si>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</si>
  <si>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</si>
  <si>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</si>
  <si>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</si>
  <si>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</si>
  <si>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</si>
  <si>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</si>
  <si>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</si>
  <si>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</si>
  <si>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</si>
  <si>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</si>
  <si>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</si>
  <si>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</si>
  <si>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</si>
  <si>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</si>
  <si>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</si>
  <si>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</si>
  <si>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</si>
  <si>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</si>
  <si>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</si>
  <si>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</si>
  <si>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</si>
  <si>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</si>
  <si>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</si>
  <si>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</si>
  <si>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</si>
  <si>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</si>
  <si>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</si>
  <si>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</si>
  <si>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</si>
  <si>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</si>
  <si>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</si>
  <si>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</si>
  <si>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</si>
  <si>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</si>
  <si>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</si>
  <si>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</si>
  <si>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</si>
  <si>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</si>
  <si>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</si>
  <si>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</si>
  <si>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</si>
  <si>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</si>
  <si>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</si>
  <si>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</si>
  <si>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</si>
  <si>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</si>
  <si>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</si>
  <si>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</si>
  <si>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</si>
  <si>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</si>
  <si>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</si>
  <si>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</si>
  <si>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</si>
  <si>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</si>
  <si>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</si>
  <si>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</si>
  <si>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</si>
  <si>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</si>
  <si>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</si>
  <si>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</si>
  <si>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</si>
  <si>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</si>
  <si>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</si>
  <si>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</si>
  <si>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</si>
  <si>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</si>
  <si>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</si>
  <si>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</si>
  <si>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</si>
  <si>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</si>
  <si>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</si>
  <si>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</si>
  <si>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</si>
  <si>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</si>
  <si>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</si>
  <si>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</si>
  <si>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</si>
  <si>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</si>
  <si>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</si>
  <si>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</si>
  <si>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</si>
  <si>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</si>
  <si>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</si>
  <si>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</si>
  <si>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</si>
  <si>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</si>
  <si>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</si>
  <si>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</si>
  <si>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</si>
  <si>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</si>
  <si>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</si>
  <si>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</si>
  <si>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</si>
  <si>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</si>
  <si>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</si>
  <si>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July-2019 to Sept-2019</t>
  </si>
  <si>
    <t>April to Sept-19</t>
  </si>
  <si>
    <t>Income:</t>
  </si>
  <si>
    <t>Total Income(9+10+11+12)</t>
  </si>
  <si>
    <t>July-2020 to Sept-2020</t>
  </si>
  <si>
    <t>April to Sept-20</t>
  </si>
  <si>
    <t>MGVCL</t>
  </si>
  <si>
    <t>V  -   DISTRIBUTION - KEY DATA</t>
  </si>
  <si>
    <t>FY 2020-21 Q-II (Jul-Aug-Sep-20)</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</si>
  <si>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</si>
  <si>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</si>
  <si>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</si>
  <si>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</si>
  <si>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</si>
  <si>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</si>
  <si>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</si>
  <si>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</si>
  <si>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</si>
  <si>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Total</t>
  </si>
  <si>
    <t>(B)</t>
  </si>
  <si>
    <t>Non-working/ Defective meters</t>
  </si>
  <si>
    <t>Detected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</si>
  <si>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</si>
  <si>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</si>
  <si>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</si>
  <si>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</si>
  <si>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</si>
  <si>
    <t>V  -  DISTRIBUTION - KEY DATA</t>
  </si>
  <si>
    <t xml:space="preserve">Action plan for reducing T &amp; D losses in Urban, Industrial and GIDC feeders      </t>
  </si>
  <si>
    <t>Circle</t>
  </si>
  <si>
    <t>Q-II- Jul-20 to Sep-20</t>
  </si>
  <si>
    <t>Q-II- Jul-19 to Sep-19</t>
  </si>
  <si>
    <r>
      <t xml:space="preserve">Nos of feeders </t>
    </r>
    <r>
      <rPr>
        <b/>
        <sz val="10"/>
        <color rgb="FFFF0000"/>
        <rFont val="Leelawadee"/>
        <family val="2"/>
      </rPr>
      <t>having more than 5%</t>
    </r>
    <r>
      <rPr>
        <b/>
        <sz val="10"/>
        <rFont val="Leelawadee"/>
        <family val="2"/>
      </rPr>
      <t xml:space="preserve"> where losses increased in current period</t>
    </r>
  </si>
  <si>
    <t>Reason thereof and action being taken</t>
  </si>
  <si>
    <t xml:space="preserve">Total nos. of feeders     </t>
  </si>
  <si>
    <r>
      <t>Nos. of feeders having losses more than</t>
    </r>
    <r>
      <rPr>
        <b/>
        <sz val="10"/>
        <color rgb="FFFF0000"/>
        <rFont val="Leelawadee"/>
        <family val="2"/>
      </rPr>
      <t xml:space="preserve"> 5 %     </t>
    </r>
  </si>
  <si>
    <t xml:space="preserve">Overall % losses    </t>
  </si>
  <si>
    <r>
      <t xml:space="preserve">Nos. of feeders having losses more than </t>
    </r>
    <r>
      <rPr>
        <b/>
        <sz val="10"/>
        <color rgb="FFFF0000"/>
        <rFont val="Leelawadee"/>
        <family val="2"/>
      </rPr>
      <t xml:space="preserve">5 %     </t>
    </r>
  </si>
  <si>
    <t>GIDC</t>
  </si>
  <si>
    <t>Baroda OM</t>
  </si>
  <si>
    <t>11+1*</t>
  </si>
  <si>
    <t>1*</t>
  </si>
  <si>
    <t>Various steps are being taken to reduce the losses of feeder having high losses</t>
  </si>
  <si>
    <t>Baroda City</t>
  </si>
  <si>
    <t>Anand</t>
  </si>
  <si>
    <t>Nadiad</t>
  </si>
  <si>
    <t>Godhra</t>
  </si>
  <si>
    <t>*Newly created feeders</t>
  </si>
  <si>
    <r>
      <t xml:space="preserve">Nos of feeders </t>
    </r>
    <r>
      <rPr>
        <b/>
        <sz val="10"/>
        <color rgb="FFFF0000"/>
        <rFont val="Leelawadee"/>
        <family val="2"/>
      </rPr>
      <t>having more than 25%</t>
    </r>
    <r>
      <rPr>
        <b/>
        <sz val="10"/>
        <rFont val="Leelawadee"/>
        <family val="2"/>
      </rPr>
      <t xml:space="preserve"> where losses increased in current period</t>
    </r>
  </si>
  <si>
    <r>
      <t>Nos. of feeders having losses more than</t>
    </r>
    <r>
      <rPr>
        <b/>
        <sz val="10"/>
        <color rgb="FFFF0000"/>
        <rFont val="Leelawadee"/>
        <family val="2"/>
      </rPr>
      <t xml:space="preserve"> 25 %     </t>
    </r>
  </si>
  <si>
    <r>
      <t xml:space="preserve">Nos. of feeders having losses more than </t>
    </r>
    <r>
      <rPr>
        <b/>
        <sz val="10"/>
        <color rgb="FFFF0000"/>
        <rFont val="Leelawadee"/>
        <family val="2"/>
      </rPr>
      <t xml:space="preserve">25 %   </t>
    </r>
    <r>
      <rPr>
        <b/>
        <sz val="10"/>
        <rFont val="Leelawadee"/>
        <family val="2"/>
      </rPr>
      <t xml:space="preserve">  </t>
    </r>
  </si>
  <si>
    <t>URBAN</t>
  </si>
  <si>
    <t>8+1*</t>
  </si>
  <si>
    <r>
      <t xml:space="preserve">Nos of feeders </t>
    </r>
    <r>
      <rPr>
        <b/>
        <sz val="10"/>
        <color rgb="FFFF0000"/>
        <rFont val="Leelawadee"/>
        <family val="2"/>
      </rPr>
      <t>having more than 10%</t>
    </r>
    <r>
      <rPr>
        <b/>
        <sz val="10"/>
        <rFont val="Leelawadee"/>
        <family val="2"/>
      </rPr>
      <t xml:space="preserve"> where losses increased in current period</t>
    </r>
  </si>
  <si>
    <r>
      <t>Nos. of feeders having losses more than</t>
    </r>
    <r>
      <rPr>
        <b/>
        <sz val="10"/>
        <color rgb="FFFF0000"/>
        <rFont val="Leelawadee"/>
        <family val="2"/>
      </rPr>
      <t xml:space="preserve"> 10 %     </t>
    </r>
  </si>
  <si>
    <t>IND</t>
  </si>
  <si>
    <t>1+1*</t>
  </si>
  <si>
    <t>5+1*</t>
  </si>
</sst>
</file>

<file path=xl/styles.xml><?xml version="1.0" encoding="utf-8"?>
<styleSheet xmlns="http://schemas.openxmlformats.org/spreadsheetml/2006/main">
  <numFmts count="3">
    <numFmt numFmtId="164" formatCode="0.000"/>
    <numFmt numFmtId="165" formatCode="0.0000"/>
    <numFmt numFmtId="166" formatCode="[$-409]mmm\-yy;@"/>
  </numFmts>
  <fonts count="57">
    <font>
      <sz val="10"/>
      <name val="Arial"/>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b/>
      <sz val="24"/>
      <color theme="1"/>
      <name val="Leelawadee"/>
      <family val="2"/>
    </font>
    <font>
      <b/>
      <sz val="16"/>
      <name val="Leelawadee"/>
      <family val="2"/>
    </font>
    <font>
      <sz val="10"/>
      <color theme="1"/>
      <name val="Leelawadee"/>
      <family val="2"/>
    </font>
    <font>
      <b/>
      <sz val="16"/>
      <color theme="1"/>
      <name val="Leelawadee"/>
      <family val="2"/>
    </font>
    <font>
      <b/>
      <sz val="12"/>
      <color theme="1"/>
      <name val="Leelawadee"/>
      <family val="2"/>
    </font>
    <font>
      <sz val="12"/>
      <color theme="1"/>
      <name val="Leelawadee"/>
      <family val="2"/>
    </font>
    <font>
      <b/>
      <sz val="11"/>
      <color theme="1"/>
      <name val="Leelawadee"/>
      <family val="2"/>
    </font>
    <font>
      <b/>
      <sz val="10"/>
      <color theme="1"/>
      <name val="Leelawadee"/>
      <family val="2"/>
    </font>
    <font>
      <b/>
      <sz val="12"/>
      <name val="Leelawadee"/>
      <family val="2"/>
    </font>
    <font>
      <b/>
      <sz val="10"/>
      <name val="Leelawadee"/>
      <family val="2"/>
    </font>
    <font>
      <b/>
      <sz val="10"/>
      <color rgb="FFFF0000"/>
      <name val="Leelawadee"/>
      <family val="2"/>
    </font>
    <font>
      <sz val="10"/>
      <name val="Leelawadee"/>
      <family val="2"/>
    </font>
    <font>
      <sz val="8"/>
      <color theme="1"/>
      <name val="Leelawadee"/>
      <family val="2"/>
    </font>
    <font>
      <b/>
      <sz val="8"/>
      <name val="Leelawadee"/>
      <family val="2"/>
    </font>
    <font>
      <sz val="10"/>
      <color rgb="FFFF0000"/>
      <name val="Leelawadee"/>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s>
  <cellStyleXfs count="4">
    <xf numFmtId="0" fontId="0" fillId="0" borderId="0"/>
    <xf numFmtId="0" fontId="5" fillId="0" borderId="0"/>
    <xf numFmtId="9" fontId="41" fillId="0" borderId="0" applyFont="0" applyFill="0" applyBorder="0" applyAlignment="0" applyProtection="0"/>
    <xf numFmtId="9" fontId="5" fillId="0" borderId="0" applyFont="0" applyFill="0" applyBorder="0" applyAlignment="0" applyProtection="0"/>
  </cellStyleXfs>
  <cellXfs count="409">
    <xf numFmtId="0" fontId="0" fillId="0" borderId="0" xfId="0"/>
    <xf numFmtId="0" fontId="2" fillId="0" borderId="2" xfId="0" applyFont="1" applyBorder="1" applyAlignment="1">
      <alignment horizontal="center" vertical="center" wrapText="1"/>
    </xf>
    <xf numFmtId="10" fontId="0" fillId="0" borderId="0" xfId="0" applyNumberFormat="1"/>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5" fillId="0" borderId="0" xfId="0" applyFont="1"/>
    <xf numFmtId="0" fontId="5" fillId="0" borderId="14" xfId="0" applyFont="1" applyBorder="1"/>
    <xf numFmtId="0" fontId="5" fillId="0" borderId="0" xfId="0" applyFont="1" applyBorder="1" applyAlignment="1">
      <alignment horizontal="left"/>
    </xf>
    <xf numFmtId="0" fontId="5" fillId="0" borderId="0" xfId="0" applyFont="1" applyBorder="1"/>
    <xf numFmtId="0" fontId="2" fillId="0" borderId="0" xfId="0" applyFont="1" applyFill="1" applyBorder="1" applyAlignment="1">
      <alignment horizontal="left" vertical="center" wrapText="1"/>
    </xf>
    <xf numFmtId="0" fontId="6" fillId="0" borderId="0" xfId="0" applyFont="1" applyBorder="1" applyAlignment="1">
      <alignment horizontal="right"/>
    </xf>
    <xf numFmtId="0" fontId="6" fillId="0" borderId="17" xfId="0" applyFont="1" applyBorder="1" applyAlignment="1">
      <alignment horizontal="right"/>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8" fillId="0" borderId="0" xfId="0" applyFont="1"/>
    <xf numFmtId="0" fontId="9" fillId="0" borderId="0" xfId="0" applyFont="1"/>
    <xf numFmtId="0" fontId="12" fillId="0" borderId="1" xfId="0" applyFont="1" applyBorder="1" applyAlignment="1">
      <alignment horizontal="right" vertical="center" wrapText="1"/>
    </xf>
    <xf numFmtId="0" fontId="11" fillId="0" borderId="2" xfId="0" applyFont="1" applyBorder="1" applyAlignment="1">
      <alignment horizontal="center" vertical="center" wrapText="1"/>
    </xf>
    <xf numFmtId="2" fontId="12" fillId="0" borderId="1" xfId="0" applyNumberFormat="1" applyFont="1" applyBorder="1" applyAlignment="1">
      <alignment vertical="center" wrapText="1"/>
    </xf>
    <xf numFmtId="0" fontId="13" fillId="0" borderId="0" xfId="0" applyFont="1" applyBorder="1" applyAlignment="1">
      <alignment horizontal="right"/>
    </xf>
    <xf numFmtId="0" fontId="13" fillId="0" borderId="0" xfId="0" applyFont="1"/>
    <xf numFmtId="0" fontId="15"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1" fontId="10" fillId="0" borderId="1" xfId="0" applyNumberFormat="1" applyFont="1" applyBorder="1"/>
    <xf numFmtId="0" fontId="10" fillId="0" borderId="1" xfId="0" applyFont="1" applyBorder="1"/>
    <xf numFmtId="0" fontId="11" fillId="0" borderId="20" xfId="0" applyFont="1" applyBorder="1" applyAlignment="1">
      <alignment vertical="center" wrapText="1"/>
    </xf>
    <xf numFmtId="0" fontId="17" fillId="0" borderId="0" xfId="0" applyFont="1" applyAlignment="1">
      <alignment horizontal="left" wrapText="1"/>
    </xf>
    <xf numFmtId="0" fontId="17" fillId="0" borderId="0" xfId="0" applyFont="1" applyAlignment="1">
      <alignment horizontal="right" wrapText="1"/>
    </xf>
    <xf numFmtId="0" fontId="16" fillId="0" borderId="0" xfId="0" applyFont="1" applyAlignment="1">
      <alignment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1" fontId="5" fillId="0" borderId="0" xfId="0" applyNumberFormat="1" applyFont="1"/>
    <xf numFmtId="2" fontId="10" fillId="0" borderId="1" xfId="0" applyNumberFormat="1" applyFont="1" applyBorder="1"/>
    <xf numFmtId="1" fontId="12" fillId="0" borderId="4" xfId="0" applyNumberFormat="1" applyFont="1" applyBorder="1" applyAlignment="1">
      <alignment vertical="center" wrapText="1"/>
    </xf>
    <xf numFmtId="1" fontId="12" fillId="0" borderId="1" xfId="0" applyNumberFormat="1" applyFont="1" applyBorder="1" applyAlignment="1">
      <alignment vertical="center" wrapText="1"/>
    </xf>
    <xf numFmtId="1" fontId="12"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11"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10" fontId="12" fillId="0" borderId="1" xfId="0" applyNumberFormat="1" applyFont="1" applyBorder="1" applyAlignment="1">
      <alignment horizontal="right" vertical="center" wrapText="1"/>
    </xf>
    <xf numFmtId="0" fontId="12" fillId="0" borderId="16" xfId="0"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0" xfId="0" applyFont="1" applyFill="1"/>
    <xf numFmtId="2" fontId="12" fillId="0" borderId="4" xfId="0" applyNumberFormat="1" applyFont="1" applyFill="1" applyBorder="1" applyAlignment="1">
      <alignment horizontal="right" vertical="center" wrapText="1"/>
    </xf>
    <xf numFmtId="2" fontId="12" fillId="0" borderId="2" xfId="0" applyNumberFormat="1" applyFont="1" applyFill="1" applyBorder="1" applyAlignment="1">
      <alignment horizontal="right" vertical="center" wrapText="1"/>
    </xf>
    <xf numFmtId="0" fontId="15" fillId="0" borderId="0" xfId="0" applyFont="1" applyFill="1"/>
    <xf numFmtId="0" fontId="21" fillId="0" borderId="0" xfId="0" applyFont="1" applyFill="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xf numFmtId="0" fontId="12" fillId="0" borderId="0" xfId="0" applyFont="1" applyFill="1"/>
    <xf numFmtId="0" fontId="14"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3" fillId="0" borderId="0" xfId="0" applyFont="1" applyFill="1" applyAlignment="1">
      <alignment horizontal="left"/>
    </xf>
    <xf numFmtId="0" fontId="1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9" xfId="0" applyFont="1" applyFill="1" applyBorder="1" applyAlignment="1">
      <alignment horizontal="center" vertical="center" wrapText="1"/>
    </xf>
    <xf numFmtId="165" fontId="24" fillId="0" borderId="0" xfId="0" applyNumberFormat="1" applyFont="1" applyFill="1"/>
    <xf numFmtId="0" fontId="25" fillId="0" borderId="0" xfId="0" applyFont="1" applyFill="1"/>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4" fillId="0" borderId="0" xfId="0" applyFont="1" applyFill="1"/>
    <xf numFmtId="2" fontId="24" fillId="0" borderId="0" xfId="0" applyNumberFormat="1" applyFont="1" applyFill="1"/>
    <xf numFmtId="0" fontId="15" fillId="0" borderId="0" xfId="0" applyFont="1"/>
    <xf numFmtId="0" fontId="21" fillId="0" borderId="0" xfId="0" applyFont="1" applyAlignment="1">
      <alignment horizontal="center" vertical="center" wrapText="1"/>
    </xf>
    <xf numFmtId="0" fontId="28" fillId="0" borderId="0" xfId="0" applyFont="1" applyAlignment="1">
      <alignment horizont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left" vertical="center" wrapText="1"/>
    </xf>
    <xf numFmtId="10" fontId="12" fillId="0" borderId="8" xfId="0" applyNumberFormat="1" applyFont="1" applyBorder="1" applyAlignment="1">
      <alignment horizontal="right"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Border="1" applyAlignment="1">
      <alignment horizontal="center" vertical="center" wrapText="1"/>
    </xf>
    <xf numFmtId="2" fontId="15" fillId="0" borderId="0" xfId="0" applyNumberFormat="1" applyFont="1"/>
    <xf numFmtId="164" fontId="31" fillId="0" borderId="0" xfId="0" applyNumberFormat="1" applyFont="1"/>
    <xf numFmtId="0" fontId="11" fillId="0" borderId="13"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1" xfId="0" applyFont="1" applyBorder="1" applyAlignment="1">
      <alignment horizontal="right" vertical="center" wrapText="1"/>
    </xf>
    <xf numFmtId="2" fontId="12" fillId="0" borderId="2" xfId="0" applyNumberFormat="1" applyFont="1" applyBorder="1" applyAlignment="1">
      <alignment horizontal="right" vertical="center" wrapText="1"/>
    </xf>
    <xf numFmtId="0" fontId="11" fillId="0" borderId="2" xfId="0" applyFont="1" applyBorder="1" applyAlignment="1">
      <alignment horizontal="right" vertical="center" wrapText="1"/>
    </xf>
    <xf numFmtId="0" fontId="11" fillId="0" borderId="12" xfId="0" applyFont="1" applyBorder="1" applyAlignment="1">
      <alignment horizontal="right" vertical="center" wrapText="1"/>
    </xf>
    <xf numFmtId="0" fontId="32" fillId="0" borderId="0" xfId="0" applyFont="1" applyAlignment="1">
      <alignment vertical="center" wrapText="1"/>
    </xf>
    <xf numFmtId="0" fontId="29" fillId="0" borderId="0" xfId="0" applyFont="1" applyAlignment="1">
      <alignment horizontal="center" vertical="center" wrapText="1"/>
    </xf>
    <xf numFmtId="0" fontId="14" fillId="0" borderId="0" xfId="0" applyFont="1"/>
    <xf numFmtId="2" fontId="14" fillId="0" borderId="0" xfId="0" applyNumberFormat="1" applyFont="1"/>
    <xf numFmtId="0" fontId="12" fillId="0" borderId="0" xfId="0" applyFont="1" applyAlignment="1">
      <alignment horizontal="center" vertical="center"/>
    </xf>
    <xf numFmtId="2" fontId="25" fillId="0" borderId="0" xfId="0" applyNumberFormat="1" applyFont="1"/>
    <xf numFmtId="0" fontId="12" fillId="0" borderId="0" xfId="0" applyFont="1"/>
    <xf numFmtId="0" fontId="28" fillId="0" borderId="0" xfId="0" applyFont="1" applyFill="1" applyBorder="1" applyAlignment="1">
      <alignment horizontal="left" vertical="center" wrapText="1"/>
    </xf>
    <xf numFmtId="1" fontId="12" fillId="0" borderId="1" xfId="0" applyNumberFormat="1" applyFont="1" applyFill="1" applyBorder="1" applyAlignment="1">
      <alignment horizontal="right" vertical="center" wrapText="1"/>
    </xf>
    <xf numFmtId="0" fontId="15" fillId="0" borderId="14" xfId="0" applyFont="1" applyFill="1" applyBorder="1"/>
    <xf numFmtId="0" fontId="15" fillId="0" borderId="0" xfId="0" applyFont="1" applyFill="1" applyBorder="1" applyAlignment="1">
      <alignment horizontal="left"/>
    </xf>
    <xf numFmtId="0" fontId="15" fillId="0" borderId="0" xfId="0" applyFont="1" applyFill="1" applyBorder="1"/>
    <xf numFmtId="0" fontId="13" fillId="0" borderId="0" xfId="0" applyFont="1" applyFill="1" applyBorder="1" applyAlignment="1">
      <alignment horizontal="right"/>
    </xf>
    <xf numFmtId="0" fontId="11" fillId="0" borderId="1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0" xfId="0" applyFont="1" applyFill="1"/>
    <xf numFmtId="2" fontId="33" fillId="0" borderId="0" xfId="0" applyNumberFormat="1" applyFont="1" applyFill="1"/>
    <xf numFmtId="0" fontId="34" fillId="0" borderId="0" xfId="0" applyFont="1" applyFill="1" applyAlignment="1">
      <alignment horizontal="center"/>
    </xf>
    <xf numFmtId="0" fontId="34" fillId="0" borderId="0" xfId="0" applyFont="1" applyFill="1"/>
    <xf numFmtId="2" fontId="34" fillId="0" borderId="0" xfId="0" applyNumberFormat="1" applyFont="1" applyFill="1"/>
    <xf numFmtId="10" fontId="15" fillId="0" borderId="0" xfId="0" applyNumberFormat="1" applyFont="1" applyFill="1"/>
    <xf numFmtId="1" fontId="12" fillId="0" borderId="2" xfId="0" applyNumberFormat="1" applyFont="1" applyBorder="1" applyAlignment="1">
      <alignment vertical="center" wrapText="1"/>
    </xf>
    <xf numFmtId="0" fontId="2" fillId="0" borderId="28" xfId="0" applyFont="1" applyBorder="1" applyAlignment="1">
      <alignment horizontal="center" vertical="center" wrapText="1"/>
    </xf>
    <xf numFmtId="0" fontId="2" fillId="0" borderId="21" xfId="0" applyFont="1" applyBorder="1" applyAlignment="1">
      <alignment horizontal="left" vertical="center" wrapText="1"/>
    </xf>
    <xf numFmtId="0" fontId="2" fillId="0" borderId="29"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10" fontId="14" fillId="0" borderId="8" xfId="0" applyNumberFormat="1" applyFont="1" applyBorder="1" applyAlignment="1">
      <alignment horizontal="right" vertical="center" wrapText="1"/>
    </xf>
    <xf numFmtId="2" fontId="35" fillId="0" borderId="0" xfId="0" applyNumberFormat="1" applyFont="1"/>
    <xf numFmtId="10" fontId="35" fillId="0" borderId="0" xfId="0" applyNumberFormat="1" applyFont="1"/>
    <xf numFmtId="0" fontId="36" fillId="0" borderId="0" xfId="0" applyFont="1"/>
    <xf numFmtId="0" fontId="37" fillId="0" borderId="0" xfId="0" applyFont="1" applyFill="1"/>
    <xf numFmtId="0" fontId="38" fillId="0" borderId="0" xfId="0" applyFont="1" applyFill="1"/>
    <xf numFmtId="2" fontId="39" fillId="0" borderId="8" xfId="0" applyNumberFormat="1" applyFont="1" applyBorder="1" applyAlignment="1">
      <alignment horizontal="right" vertical="center" wrapText="1"/>
    </xf>
    <xf numFmtId="10" fontId="12" fillId="0" borderId="4" xfId="0" applyNumberFormat="1" applyFont="1" applyBorder="1" applyAlignment="1">
      <alignment horizontal="right" vertical="center" wrapText="1"/>
    </xf>
    <xf numFmtId="10" fontId="12" fillId="0" borderId="7"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xf numFmtId="10" fontId="12" fillId="0" borderId="12"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13" fillId="0" borderId="17" xfId="0" applyFont="1" applyBorder="1" applyAlignment="1">
      <alignment horizontal="right"/>
    </xf>
    <xf numFmtId="10" fontId="12" fillId="0" borderId="21"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8" xfId="0" applyNumberFormat="1" applyFont="1" applyBorder="1" applyAlignment="1">
      <alignment horizontal="right"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2" fontId="40" fillId="0" borderId="1" xfId="0" applyNumberFormat="1" applyFont="1" applyBorder="1" applyAlignment="1">
      <alignment horizontal="right" vertical="center" wrapText="1"/>
    </xf>
    <xf numFmtId="0" fontId="38" fillId="0" borderId="0" xfId="0" applyFont="1" applyFill="1" applyBorder="1" applyAlignment="1">
      <alignment horizontal="right"/>
    </xf>
    <xf numFmtId="0" fontId="38" fillId="0" borderId="17" xfId="0" applyFont="1" applyFill="1" applyBorder="1" applyAlignment="1">
      <alignment horizontal="right"/>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10" fontId="12" fillId="0" borderId="2" xfId="0" applyNumberFormat="1" applyFont="1" applyFill="1" applyBorder="1" applyAlignment="1">
      <alignment horizontal="right" vertical="center" wrapText="1"/>
    </xf>
    <xf numFmtId="10" fontId="12" fillId="0" borderId="12"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2" fontId="12" fillId="0" borderId="10" xfId="0" applyNumberFormat="1" applyFont="1" applyBorder="1" applyAlignment="1">
      <alignment horizontal="right" vertical="center" wrapText="1"/>
    </xf>
    <xf numFmtId="0" fontId="12" fillId="0" borderId="10" xfId="0" applyFont="1" applyBorder="1" applyAlignment="1">
      <alignment horizontal="right"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10" fontId="8" fillId="0" borderId="1" xfId="0" applyNumberFormat="1" applyFont="1" applyBorder="1" applyAlignment="1">
      <alignment horizontal="right" vertical="center" wrapText="1"/>
    </xf>
    <xf numFmtId="0" fontId="2" fillId="0" borderId="10" xfId="0" applyFont="1" applyBorder="1" applyAlignment="1">
      <alignment horizontal="center" vertical="center" wrapText="1"/>
    </xf>
    <xf numFmtId="2" fontId="8" fillId="0" borderId="1" xfId="0" applyNumberFormat="1" applyFont="1" applyBorder="1" applyAlignment="1">
      <alignment vertical="center" wrapText="1"/>
    </xf>
    <xf numFmtId="2" fontId="8" fillId="0" borderId="15" xfId="0" applyNumberFormat="1" applyFont="1" applyBorder="1" applyAlignment="1">
      <alignment vertical="center" wrapText="1"/>
    </xf>
    <xf numFmtId="10" fontId="8" fillId="0" borderId="8" xfId="0" applyNumberFormat="1" applyFont="1" applyBorder="1" applyAlignment="1">
      <alignment horizontal="right" vertical="center" wrapText="1"/>
    </xf>
    <xf numFmtId="2" fontId="11" fillId="0" borderId="8" xfId="0" applyNumberFormat="1" applyFont="1" applyBorder="1" applyAlignment="1">
      <alignment horizontal="right" vertical="center" wrapText="1"/>
    </xf>
    <xf numFmtId="10" fontId="12" fillId="0" borderId="15" xfId="0" applyNumberFormat="1" applyFont="1" applyBorder="1" applyAlignment="1">
      <alignment horizontal="right" vertical="center" wrapText="1"/>
    </xf>
    <xf numFmtId="10" fontId="12" fillId="2" borderId="1" xfId="0" applyNumberFormat="1" applyFont="1" applyFill="1" applyBorder="1" applyAlignment="1">
      <alignment horizontal="right" vertical="center" wrapText="1"/>
    </xf>
    <xf numFmtId="10" fontId="12" fillId="2" borderId="15" xfId="0" applyNumberFormat="1" applyFont="1" applyFill="1" applyBorder="1" applyAlignment="1">
      <alignment horizontal="right" vertical="center" wrapText="1"/>
    </xf>
    <xf numFmtId="0" fontId="12" fillId="0" borderId="15" xfId="0" applyFont="1" applyBorder="1" applyAlignment="1">
      <alignment horizontal="right" vertical="center" wrapText="1"/>
    </xf>
    <xf numFmtId="10" fontId="12" fillId="0" borderId="4" xfId="0" applyNumberFormat="1" applyFont="1" applyFill="1" applyBorder="1" applyAlignment="1">
      <alignment horizontal="right" vertical="center" wrapText="1"/>
    </xf>
    <xf numFmtId="10" fontId="12" fillId="0" borderId="7" xfId="0" applyNumberFormat="1" applyFont="1" applyFill="1" applyBorder="1" applyAlignment="1">
      <alignment horizontal="right" vertical="center" wrapText="1"/>
    </xf>
    <xf numFmtId="164" fontId="12" fillId="0" borderId="4"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4" fontId="12" fillId="0" borderId="2" xfId="0" applyNumberFormat="1" applyFont="1" applyFill="1" applyBorder="1" applyAlignment="1">
      <alignment horizontal="right" vertical="center" wrapText="1"/>
    </xf>
    <xf numFmtId="2" fontId="12" fillId="0" borderId="3"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0" fontId="34" fillId="0" borderId="0" xfId="0" applyFont="1"/>
    <xf numFmtId="2" fontId="12" fillId="0" borderId="10"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10" fontId="40" fillId="0" borderId="1" xfId="0" applyNumberFormat="1" applyFont="1" applyBorder="1" applyAlignment="1">
      <alignment horizontal="right" vertical="center" wrapText="1"/>
    </xf>
    <xf numFmtId="10" fontId="40" fillId="0" borderId="1" xfId="0" applyNumberFormat="1" applyFont="1" applyFill="1" applyBorder="1" applyAlignment="1">
      <alignment horizontal="right" vertical="center" wrapText="1"/>
    </xf>
    <xf numFmtId="10" fontId="40" fillId="0" borderId="8"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10" fontId="40" fillId="0" borderId="8" xfId="0" applyNumberFormat="1" applyFont="1" applyBorder="1" applyAlignment="1">
      <alignment horizontal="right" vertical="center" wrapText="1"/>
    </xf>
    <xf numFmtId="10" fontId="12" fillId="0" borderId="1" xfId="2"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2" fontId="12" fillId="0" borderId="1" xfId="0" applyNumberFormat="1" applyFont="1" applyBorder="1" applyAlignment="1">
      <alignment horizontal="right" vertical="center" wrapText="1"/>
    </xf>
    <xf numFmtId="2" fontId="34" fillId="0" borderId="0" xfId="0" applyNumberFormat="1" applyFont="1"/>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0" fontId="15" fillId="0" borderId="0" xfId="0" applyNumberFormat="1" applyFont="1"/>
    <xf numFmtId="1" fontId="13" fillId="0" borderId="0" xfId="0" applyNumberFormat="1" applyFont="1" applyFill="1" applyBorder="1" applyAlignment="1">
      <alignment horizontal="right"/>
    </xf>
    <xf numFmtId="1" fontId="12" fillId="0" borderId="4" xfId="0" applyNumberFormat="1" applyFont="1" applyFill="1" applyBorder="1" applyAlignment="1">
      <alignment vertical="center" wrapText="1"/>
    </xf>
    <xf numFmtId="1" fontId="12" fillId="0" borderId="5"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5" xfId="0" applyNumberFormat="1" applyFont="1" applyFill="1" applyBorder="1" applyAlignment="1">
      <alignment horizontal="right" vertical="center" wrapText="1"/>
    </xf>
    <xf numFmtId="2" fontId="15" fillId="0" borderId="0" xfId="2" applyNumberFormat="1" applyFont="1"/>
    <xf numFmtId="10" fontId="15" fillId="0" borderId="0" xfId="2" applyNumberFormat="1" applyFont="1"/>
    <xf numFmtId="1" fontId="12" fillId="0" borderId="1" xfId="0" applyNumberFormat="1" applyFont="1" applyBorder="1" applyAlignment="1">
      <alignment vertical="center" wrapText="1"/>
    </xf>
    <xf numFmtId="2" fontId="12" fillId="0" borderId="1" xfId="0" applyNumberFormat="1" applyFont="1" applyFill="1" applyBorder="1" applyAlignment="1">
      <alignment horizontal="right" vertical="center" wrapText="1"/>
    </xf>
    <xf numFmtId="9" fontId="15" fillId="0" borderId="0" xfId="2" applyFont="1"/>
    <xf numFmtId="10" fontId="13" fillId="0" borderId="0" xfId="2" applyNumberFormat="1" applyFont="1"/>
    <xf numFmtId="10" fontId="12" fillId="0" borderId="1" xfId="0" applyNumberFormat="1" applyFont="1" applyBorder="1" applyAlignment="1">
      <alignment horizontal="right" vertical="center" wrapText="1"/>
    </xf>
    <xf numFmtId="2" fontId="12" fillId="0" borderId="5" xfId="0" applyNumberFormat="1" applyFont="1" applyFill="1" applyBorder="1" applyAlignment="1">
      <alignment horizontal="right" vertical="center" wrapText="1"/>
    </xf>
    <xf numFmtId="1" fontId="12" fillId="0" borderId="2" xfId="0" applyNumberFormat="1" applyFont="1" applyFill="1" applyBorder="1" applyAlignment="1">
      <alignment horizontal="right" vertical="center" wrapText="1"/>
    </xf>
    <xf numFmtId="2" fontId="12" fillId="0" borderId="6" xfId="0" applyNumberFormat="1" applyFont="1" applyFill="1" applyBorder="1" applyAlignment="1">
      <alignment horizontal="right" vertical="center" wrapText="1"/>
    </xf>
    <xf numFmtId="1" fontId="12" fillId="0" borderId="1" xfId="0" quotePrefix="1" applyNumberFormat="1" applyFont="1" applyFill="1" applyBorder="1" applyAlignment="1">
      <alignment horizontal="right" vertical="center" wrapText="1"/>
    </xf>
    <xf numFmtId="2" fontId="12" fillId="0" borderId="5" xfId="0" quotePrefix="1" applyNumberFormat="1" applyFont="1" applyFill="1" applyBorder="1" applyAlignment="1">
      <alignment horizontal="right" vertical="center" wrapText="1"/>
    </xf>
    <xf numFmtId="2" fontId="12" fillId="0" borderId="30" xfId="0" applyNumberFormat="1" applyFont="1" applyFill="1" applyBorder="1" applyAlignment="1">
      <alignment horizontal="right" vertical="center" wrapText="1"/>
    </xf>
    <xf numFmtId="2" fontId="12" fillId="0" borderId="31" xfId="0" applyNumberFormat="1" applyFont="1" applyFill="1" applyBorder="1" applyAlignment="1">
      <alignment horizontal="right" vertical="center" wrapText="1"/>
    </xf>
    <xf numFmtId="0" fontId="11" fillId="0" borderId="1" xfId="0" applyFont="1" applyBorder="1" applyAlignment="1">
      <alignment horizontal="center" vertical="center" wrapText="1"/>
    </xf>
    <xf numFmtId="2" fontId="12" fillId="0" borderId="1"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10" fontId="12" fillId="0" borderId="8" xfId="0" applyNumberFormat="1" applyFont="1" applyBorder="1" applyAlignment="1">
      <alignment horizontal="right" vertical="center" wrapText="1"/>
    </xf>
    <xf numFmtId="2" fontId="12" fillId="0" borderId="21" xfId="0" applyNumberFormat="1" applyFont="1" applyFill="1" applyBorder="1" applyAlignment="1">
      <alignment horizontal="right" vertical="center" wrapText="1"/>
    </xf>
    <xf numFmtId="0" fontId="11" fillId="0" borderId="18" xfId="0" applyFont="1" applyBorder="1" applyAlignment="1">
      <alignment horizontal="center"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10" fontId="12" fillId="0" borderId="1" xfId="0" applyNumberFormat="1" applyFont="1" applyBorder="1" applyAlignment="1">
      <alignment horizontal="right" vertical="center" wrapText="1"/>
    </xf>
    <xf numFmtId="1" fontId="12" fillId="0" borderId="1" xfId="0" applyNumberFormat="1" applyFont="1" applyFill="1" applyBorder="1" applyAlignment="1">
      <alignment horizontal="right" vertical="center" wrapText="1"/>
    </xf>
    <xf numFmtId="10" fontId="12" fillId="0" borderId="32" xfId="0" applyNumberFormat="1" applyFont="1" applyBorder="1" applyAlignment="1">
      <alignment horizontal="right" vertical="center" wrapText="1"/>
    </xf>
    <xf numFmtId="0" fontId="14" fillId="0" borderId="1" xfId="0" applyFont="1" applyBorder="1" applyAlignment="1">
      <alignment horizontal="left" vertical="center" wrapText="1"/>
    </xf>
    <xf numFmtId="164" fontId="34" fillId="0" borderId="0" xfId="0" applyNumberFormat="1" applyFont="1" applyFill="1"/>
    <xf numFmtId="164" fontId="13" fillId="0" borderId="0" xfId="0" applyNumberFormat="1" applyFont="1" applyFill="1"/>
    <xf numFmtId="10" fontId="12" fillId="0" borderId="8" xfId="0" applyNumberFormat="1" applyFont="1" applyBorder="1" applyAlignment="1">
      <alignment horizontal="right" vertical="center" wrapText="1"/>
    </xf>
    <xf numFmtId="2" fontId="15" fillId="0" borderId="0" xfId="0" applyNumberFormat="1" applyFont="1" applyFill="1"/>
    <xf numFmtId="0" fontId="43" fillId="0" borderId="0" xfId="0" applyFont="1" applyFill="1" applyAlignment="1">
      <alignment horizontal="left" vertical="center"/>
    </xf>
    <xf numFmtId="0" fontId="43" fillId="0" borderId="0" xfId="0" applyFont="1" applyFill="1" applyAlignment="1">
      <alignment vertical="center"/>
    </xf>
    <xf numFmtId="0" fontId="44" fillId="0" borderId="0" xfId="0" applyFont="1" applyFill="1" applyBorder="1"/>
    <xf numFmtId="0" fontId="43" fillId="0" borderId="0" xfId="0" applyFont="1" applyFill="1" applyAlignment="1">
      <alignment horizontal="right" vertical="center"/>
    </xf>
    <xf numFmtId="0" fontId="46" fillId="0" borderId="4" xfId="0" applyFont="1" applyFill="1" applyBorder="1" applyAlignment="1">
      <alignment horizontal="center" vertical="center" wrapText="1"/>
    </xf>
    <xf numFmtId="0" fontId="47" fillId="0" borderId="1" xfId="0" applyFont="1" applyFill="1" applyBorder="1" applyAlignment="1">
      <alignment horizontal="left" vertical="center"/>
    </xf>
    <xf numFmtId="0" fontId="47" fillId="0" borderId="1" xfId="0" applyFont="1" applyFill="1" applyBorder="1" applyAlignment="1">
      <alignment horizontal="center" vertical="center"/>
    </xf>
    <xf numFmtId="0" fontId="47" fillId="0" borderId="1" xfId="0" applyFont="1" applyFill="1" applyBorder="1" applyAlignment="1">
      <alignment vertical="center"/>
    </xf>
    <xf numFmtId="0" fontId="46" fillId="0" borderId="2" xfId="0" applyFont="1" applyFill="1" applyBorder="1" applyAlignment="1">
      <alignment horizontal="left" vertical="center"/>
    </xf>
    <xf numFmtId="0" fontId="46" fillId="0" borderId="2" xfId="0" applyFont="1" applyFill="1" applyBorder="1" applyAlignment="1">
      <alignment horizontal="center" vertical="center"/>
    </xf>
    <xf numFmtId="0" fontId="46" fillId="0" borderId="2" xfId="0" applyFont="1" applyFill="1" applyBorder="1" applyAlignment="1">
      <alignment vertical="center"/>
    </xf>
    <xf numFmtId="0" fontId="46" fillId="0" borderId="7" xfId="0" applyFont="1" applyFill="1" applyBorder="1" applyAlignment="1">
      <alignment horizontal="center" vertical="center" wrapText="1"/>
    </xf>
    <xf numFmtId="0" fontId="47" fillId="4" borderId="1" xfId="0" applyFont="1" applyFill="1" applyBorder="1" applyAlignment="1">
      <alignment horizontal="center" vertical="center"/>
    </xf>
    <xf numFmtId="1" fontId="47" fillId="4" borderId="1" xfId="0" applyNumberFormat="1" applyFont="1" applyFill="1" applyBorder="1" applyAlignment="1">
      <alignment horizontal="center" vertical="center"/>
    </xf>
    <xf numFmtId="1" fontId="47" fillId="4" borderId="8" xfId="0" applyNumberFormat="1" applyFont="1" applyFill="1" applyBorder="1" applyAlignment="1">
      <alignment horizontal="center" vertical="center"/>
    </xf>
    <xf numFmtId="0" fontId="46" fillId="4" borderId="2" xfId="0" applyFont="1" applyFill="1" applyBorder="1" applyAlignment="1">
      <alignment horizontal="center" vertical="center"/>
    </xf>
    <xf numFmtId="0" fontId="46" fillId="4" borderId="12" xfId="0" applyFont="1" applyFill="1" applyBorder="1" applyAlignment="1">
      <alignment horizontal="center" vertical="center"/>
    </xf>
    <xf numFmtId="0" fontId="44" fillId="0" borderId="0" xfId="0" quotePrefix="1" applyFont="1" applyFill="1" applyBorder="1"/>
    <xf numFmtId="0" fontId="44" fillId="0" borderId="0" xfId="0" applyNumberFormat="1" applyFont="1" applyFill="1" applyBorder="1"/>
    <xf numFmtId="1" fontId="44" fillId="0" borderId="0" xfId="0" applyNumberFormat="1" applyFont="1" applyFill="1" applyBorder="1"/>
    <xf numFmtId="166" fontId="44" fillId="0" borderId="0" xfId="0" applyNumberFormat="1" applyFont="1" applyFill="1" applyBorder="1"/>
    <xf numFmtId="0" fontId="44" fillId="0" borderId="0" xfId="0" applyFont="1" applyFill="1" applyBorder="1" applyAlignment="1">
      <alignment vertical="center"/>
    </xf>
    <xf numFmtId="1" fontId="49" fillId="0" borderId="0" xfId="0" applyNumberFormat="1" applyFont="1" applyFill="1" applyBorder="1" applyAlignment="1">
      <alignment vertical="center"/>
    </xf>
    <xf numFmtId="0" fontId="44"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49" fillId="0" borderId="0" xfId="0" applyFont="1" applyFill="1" applyBorder="1" applyAlignment="1">
      <alignment vertical="center"/>
    </xf>
    <xf numFmtId="16" fontId="44" fillId="0" borderId="0" xfId="0" quotePrefix="1" applyNumberFormat="1" applyFont="1" applyFill="1" applyBorder="1" applyAlignment="1">
      <alignment vertical="center"/>
    </xf>
    <xf numFmtId="0" fontId="49" fillId="0" borderId="0" xfId="0" applyFont="1" applyFill="1" applyBorder="1"/>
    <xf numFmtId="0" fontId="44" fillId="0" borderId="0" xfId="0" applyFont="1" applyFill="1"/>
    <xf numFmtId="0" fontId="51" fillId="0" borderId="40" xfId="1" applyFont="1" applyFill="1" applyBorder="1" applyAlignment="1"/>
    <xf numFmtId="0" fontId="51" fillId="0" borderId="41" xfId="1" applyFont="1" applyFill="1" applyBorder="1" applyAlignment="1"/>
    <xf numFmtId="0" fontId="51" fillId="0" borderId="24"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16"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1" xfId="1" applyFont="1" applyFill="1" applyBorder="1" applyAlignment="1">
      <alignment horizontal="center" vertical="center"/>
    </xf>
    <xf numFmtId="2" fontId="53" fillId="0" borderId="1" xfId="1" applyNumberFormat="1" applyFont="1" applyFill="1" applyBorder="1" applyAlignment="1">
      <alignment horizontal="center" vertical="center" wrapText="1"/>
    </xf>
    <xf numFmtId="0" fontId="53" fillId="0" borderId="16" xfId="1" applyFont="1" applyFill="1" applyBorder="1" applyAlignment="1">
      <alignment horizontal="center" vertical="center" wrapText="1"/>
    </xf>
    <xf numFmtId="0" fontId="44" fillId="0" borderId="0" xfId="0" applyFont="1" applyFill="1" applyAlignment="1">
      <alignment vertical="center"/>
    </xf>
    <xf numFmtId="0" fontId="49" fillId="0" borderId="0" xfId="0" applyFont="1" applyFill="1" applyBorder="1" applyAlignment="1">
      <alignment horizontal="center" vertical="center"/>
    </xf>
    <xf numFmtId="0" fontId="51" fillId="0" borderId="10" xfId="1" applyFont="1" applyFill="1" applyBorder="1" applyAlignment="1">
      <alignment horizontal="center" vertical="center" wrapText="1"/>
    </xf>
    <xf numFmtId="2" fontId="51" fillId="0" borderId="10" xfId="1" applyNumberFormat="1" applyFont="1" applyFill="1" applyBorder="1" applyAlignment="1">
      <alignment horizontal="center" vertical="center" wrapText="1"/>
    </xf>
    <xf numFmtId="0" fontId="54" fillId="0" borderId="26" xfId="0" applyFont="1" applyFill="1" applyBorder="1" applyAlignment="1">
      <alignment horizontal="center" vertical="center"/>
    </xf>
    <xf numFmtId="0" fontId="55" fillId="0" borderId="2" xfId="1" applyFont="1" applyFill="1" applyBorder="1" applyAlignment="1">
      <alignment horizontal="center" vertical="center" wrapText="1"/>
    </xf>
    <xf numFmtId="0" fontId="54" fillId="0" borderId="0" xfId="0" applyFont="1" applyFill="1" applyAlignment="1">
      <alignment vertical="center"/>
    </xf>
    <xf numFmtId="0" fontId="49" fillId="0" borderId="1" xfId="0" applyFont="1" applyFill="1" applyBorder="1" applyAlignment="1">
      <alignment horizontal="center" vertical="center"/>
    </xf>
    <xf numFmtId="2" fontId="51" fillId="0" borderId="1" xfId="1" applyNumberFormat="1" applyFont="1" applyFill="1" applyBorder="1" applyAlignment="1">
      <alignment horizontal="center" vertical="center" wrapText="1"/>
    </xf>
    <xf numFmtId="0" fontId="54" fillId="0" borderId="44" xfId="0" applyFont="1" applyFill="1" applyBorder="1" applyAlignment="1">
      <alignment horizontal="center" vertical="center"/>
    </xf>
    <xf numFmtId="0" fontId="55" fillId="0" borderId="45" xfId="1" applyFont="1" applyFill="1" applyBorder="1" applyAlignment="1">
      <alignment horizontal="center" vertical="center" wrapText="1"/>
    </xf>
    <xf numFmtId="0" fontId="44" fillId="0" borderId="16" xfId="0" applyFont="1" applyFill="1" applyBorder="1" applyAlignment="1">
      <alignment vertical="center"/>
    </xf>
    <xf numFmtId="0" fontId="54" fillId="0" borderId="2" xfId="0" applyFont="1" applyFill="1" applyBorder="1" applyAlignment="1">
      <alignment horizontal="center" vertical="center"/>
    </xf>
    <xf numFmtId="0" fontId="52" fillId="0" borderId="46" xfId="0" applyNumberFormat="1" applyFont="1" applyFill="1" applyBorder="1" applyAlignment="1">
      <alignment vertical="center" wrapText="1"/>
    </xf>
    <xf numFmtId="0" fontId="56" fillId="0" borderId="46" xfId="0" applyNumberFormat="1" applyFont="1" applyFill="1" applyBorder="1" applyAlignment="1">
      <alignment vertical="center" wrapText="1"/>
    </xf>
    <xf numFmtId="2" fontId="12" fillId="0" borderId="10" xfId="0" applyNumberFormat="1" applyFont="1" applyBorder="1" applyAlignment="1">
      <alignment horizontal="right" vertical="center" wrapText="1"/>
    </xf>
    <xf numFmtId="2" fontId="12" fillId="0" borderId="16" xfId="0" applyNumberFormat="1" applyFont="1" applyBorder="1" applyAlignment="1">
      <alignment horizontal="right" vertical="center" wrapText="1"/>
    </xf>
    <xf numFmtId="2" fontId="12" fillId="0" borderId="21" xfId="0" applyNumberFormat="1" applyFont="1" applyBorder="1" applyAlignment="1">
      <alignment horizontal="right" vertical="center" wrapText="1"/>
    </xf>
    <xf numFmtId="0" fontId="27" fillId="0" borderId="0" xfId="0" applyFont="1" applyAlignment="1">
      <alignment horizontal="center"/>
    </xf>
    <xf numFmtId="0" fontId="29"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26" fillId="0" borderId="0" xfId="0" applyFont="1" applyAlignment="1">
      <alignment horizontal="center" vertical="center" wrapText="1"/>
    </xf>
    <xf numFmtId="2" fontId="12" fillId="0" borderId="10" xfId="0" applyNumberFormat="1" applyFont="1" applyFill="1" applyBorder="1" applyAlignment="1">
      <alignment horizontal="right" vertical="center" wrapText="1"/>
    </xf>
    <xf numFmtId="2" fontId="12" fillId="0" borderId="21" xfId="0" applyNumberFormat="1" applyFont="1" applyFill="1" applyBorder="1" applyAlignment="1">
      <alignment horizontal="right"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10" fontId="8" fillId="0" borderId="10" xfId="0" applyNumberFormat="1" applyFont="1" applyBorder="1" applyAlignment="1">
      <alignment horizontal="right" vertical="center" wrapText="1"/>
    </xf>
    <xf numFmtId="10" fontId="8" fillId="0" borderId="21" xfId="0" applyNumberFormat="1" applyFont="1" applyBorder="1" applyAlignment="1">
      <alignment horizontal="right" vertical="center" wrapText="1"/>
    </xf>
    <xf numFmtId="10" fontId="8" fillId="0" borderId="16" xfId="0" applyNumberFormat="1" applyFont="1" applyBorder="1" applyAlignment="1">
      <alignment horizontal="right" vertical="center" wrapText="1"/>
    </xf>
    <xf numFmtId="10" fontId="8" fillId="0" borderId="11" xfId="0" applyNumberFormat="1" applyFont="1" applyBorder="1" applyAlignment="1">
      <alignment horizontal="right" vertical="center" wrapText="1"/>
    </xf>
    <xf numFmtId="10" fontId="8" fillId="0" borderId="22" xfId="0" applyNumberFormat="1" applyFont="1" applyBorder="1" applyAlignment="1">
      <alignment horizontal="right" vertical="center" wrapText="1"/>
    </xf>
    <xf numFmtId="10" fontId="8" fillId="0" borderId="23" xfId="0" applyNumberFormat="1" applyFont="1" applyBorder="1" applyAlignment="1">
      <alignment horizontal="right" vertical="center" wrapText="1"/>
    </xf>
    <xf numFmtId="0" fontId="30" fillId="0" borderId="0" xfId="0" applyFont="1" applyAlignment="1">
      <alignment horizontal="center"/>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1" fontId="12" fillId="0" borderId="10" xfId="0" applyNumberFormat="1" applyFont="1" applyFill="1" applyBorder="1" applyAlignment="1">
      <alignment horizontal="right" vertical="center" wrapText="1"/>
    </xf>
    <xf numFmtId="1" fontId="12" fillId="0" borderId="21" xfId="0" applyNumberFormat="1" applyFont="1" applyFill="1" applyBorder="1" applyAlignment="1">
      <alignment horizontal="right" vertical="center" wrapText="1"/>
    </xf>
    <xf numFmtId="0" fontId="22" fillId="0" borderId="0" xfId="0" applyFont="1" applyFill="1" applyAlignment="1">
      <alignment horizontal="center"/>
    </xf>
    <xf numFmtId="10" fontId="12" fillId="0" borderId="11" xfId="0" applyNumberFormat="1" applyFont="1" applyFill="1" applyBorder="1" applyAlignment="1">
      <alignment horizontal="right" vertical="center" wrapText="1"/>
    </xf>
    <xf numFmtId="10" fontId="12" fillId="0" borderId="22" xfId="0" applyNumberFormat="1" applyFont="1" applyFill="1" applyBorder="1" applyAlignment="1">
      <alignment horizontal="right" vertical="center" wrapText="1"/>
    </xf>
    <xf numFmtId="164" fontId="12" fillId="0" borderId="10" xfId="0" applyNumberFormat="1" applyFont="1" applyFill="1" applyBorder="1" applyAlignment="1">
      <alignment horizontal="right" vertical="center" wrapText="1"/>
    </xf>
    <xf numFmtId="164" fontId="12" fillId="0" borderId="21" xfId="0" applyNumberFormat="1" applyFont="1" applyFill="1" applyBorder="1" applyAlignment="1">
      <alignment horizontal="right" vertical="center" wrapText="1"/>
    </xf>
    <xf numFmtId="10" fontId="12" fillId="0" borderId="10" xfId="0" applyNumberFormat="1" applyFont="1" applyFill="1" applyBorder="1" applyAlignment="1">
      <alignment vertical="center" wrapText="1"/>
    </xf>
    <xf numFmtId="10" fontId="12" fillId="0" borderId="21" xfId="0" applyNumberFormat="1" applyFont="1" applyFill="1" applyBorder="1" applyAlignment="1">
      <alignment vertical="center" wrapText="1"/>
    </xf>
    <xf numFmtId="0" fontId="23" fillId="0" borderId="0" xfId="0" applyFont="1" applyFill="1" applyAlignment="1">
      <alignment horizontal="center" vertical="center" wrapText="1"/>
    </xf>
    <xf numFmtId="10" fontId="12" fillId="0" borderId="10" xfId="0" applyNumberFormat="1" applyFont="1" applyFill="1" applyBorder="1" applyAlignment="1">
      <alignment horizontal="right" vertical="center" wrapText="1"/>
    </xf>
    <xf numFmtId="10" fontId="12" fillId="0" borderId="21" xfId="0" applyNumberFormat="1" applyFont="1" applyFill="1" applyBorder="1" applyAlignment="1">
      <alignment horizontal="right" vertical="center" wrapText="1"/>
    </xf>
    <xf numFmtId="2" fontId="12" fillId="0" borderId="5" xfId="0" applyNumberFormat="1" applyFont="1" applyFill="1" applyBorder="1" applyAlignment="1">
      <alignment horizontal="right" vertical="center" wrapText="1"/>
    </xf>
    <xf numFmtId="2" fontId="12" fillId="0" borderId="1" xfId="0" applyNumberFormat="1" applyFont="1" applyFill="1" applyBorder="1" applyAlignment="1">
      <alignment horizontal="right" vertical="center" wrapText="1"/>
    </xf>
    <xf numFmtId="2" fontId="12" fillId="0" borderId="13" xfId="0" applyNumberFormat="1" applyFont="1" applyFill="1" applyBorder="1" applyAlignment="1">
      <alignment horizontal="right" vertical="center" wrapText="1"/>
    </xf>
    <xf numFmtId="2" fontId="12" fillId="0" borderId="28" xfId="0" applyNumberFormat="1" applyFont="1" applyFill="1" applyBorder="1" applyAlignment="1">
      <alignment horizontal="right" vertical="center" wrapText="1"/>
    </xf>
    <xf numFmtId="10" fontId="12" fillId="0" borderId="1" xfId="0" applyNumberFormat="1" applyFont="1" applyFill="1" applyBorder="1" applyAlignment="1">
      <alignment horizontal="right" vertical="center" wrapText="1"/>
    </xf>
    <xf numFmtId="10" fontId="12" fillId="0" borderId="8"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1" fontId="12" fillId="0" borderId="1" xfId="0" applyNumberFormat="1" applyFont="1" applyBorder="1" applyAlignment="1">
      <alignment vertical="center" wrapText="1"/>
    </xf>
    <xf numFmtId="10" fontId="12" fillId="0" borderId="8" xfId="0" applyNumberFormat="1" applyFont="1" applyBorder="1" applyAlignment="1">
      <alignment horizontal="right" vertical="center" wrapText="1"/>
    </xf>
    <xf numFmtId="10" fontId="12" fillId="0" borderId="1" xfId="0" applyNumberFormat="1" applyFont="1" applyBorder="1" applyAlignment="1">
      <alignment horizontal="right" vertical="center" wrapText="1"/>
    </xf>
    <xf numFmtId="0" fontId="7"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10" fontId="12" fillId="0" borderId="11" xfId="0" applyNumberFormat="1" applyFont="1" applyBorder="1" applyAlignment="1">
      <alignment horizontal="right" vertical="center" wrapText="1"/>
    </xf>
    <xf numFmtId="10" fontId="12" fillId="0" borderId="23" xfId="0" applyNumberFormat="1" applyFont="1" applyBorder="1" applyAlignment="1">
      <alignment horizontal="right" vertical="center" wrapText="1"/>
    </xf>
    <xf numFmtId="10" fontId="12" fillId="0" borderId="22" xfId="0" applyNumberFormat="1" applyFont="1" applyBorder="1" applyAlignment="1">
      <alignment horizontal="righ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51" fillId="0" borderId="5" xfId="1" applyFont="1" applyFill="1" applyBorder="1" applyAlignment="1">
      <alignment horizontal="center" vertical="center" wrapText="1"/>
    </xf>
    <xf numFmtId="0" fontId="51" fillId="0" borderId="6" xfId="1" applyFont="1" applyFill="1" applyBorder="1" applyAlignment="1">
      <alignment horizontal="center" vertical="center" wrapText="1"/>
    </xf>
    <xf numFmtId="0" fontId="53" fillId="0" borderId="11" xfId="1" applyFont="1" applyFill="1" applyBorder="1" applyAlignment="1">
      <alignment horizontal="center" vertical="center" wrapText="1"/>
    </xf>
    <xf numFmtId="0" fontId="53" fillId="0" borderId="23" xfId="1" applyFont="1" applyFill="1" applyBorder="1" applyAlignment="1">
      <alignment horizontal="center" vertical="center" wrapText="1"/>
    </xf>
    <xf numFmtId="0" fontId="53" fillId="0" borderId="43" xfId="1" applyFont="1" applyFill="1" applyBorder="1" applyAlignment="1">
      <alignment horizontal="center" vertical="center" wrapText="1"/>
    </xf>
    <xf numFmtId="0" fontId="55" fillId="0" borderId="19" xfId="1" applyFont="1" applyFill="1" applyBorder="1" applyAlignment="1">
      <alignment horizontal="center" vertical="center" wrapText="1"/>
    </xf>
    <xf numFmtId="0" fontId="55" fillId="0" borderId="26" xfId="1" applyFont="1" applyFill="1" applyBorder="1" applyAlignment="1">
      <alignment horizontal="center" vertical="center" wrapText="1"/>
    </xf>
    <xf numFmtId="0" fontId="55" fillId="0" borderId="42" xfId="1" applyFont="1" applyFill="1" applyBorder="1" applyAlignment="1">
      <alignment horizontal="center" vertical="center" wrapText="1"/>
    </xf>
    <xf numFmtId="0" fontId="51" fillId="0" borderId="13" xfId="1" applyFont="1" applyFill="1" applyBorder="1" applyAlignment="1">
      <alignment horizontal="center" vertical="center" wrapText="1"/>
    </xf>
    <xf numFmtId="0" fontId="51" fillId="0" borderId="35" xfId="1" applyFont="1" applyFill="1" applyBorder="1" applyAlignment="1">
      <alignment horizontal="center" vertical="center" wrapText="1"/>
    </xf>
    <xf numFmtId="0" fontId="51" fillId="0" borderId="36"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1" fillId="0" borderId="4"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7" xfId="1" applyFont="1" applyFill="1" applyBorder="1" applyAlignment="1">
      <alignment horizontal="center" vertical="center" wrapText="1"/>
    </xf>
    <xf numFmtId="0" fontId="51" fillId="0" borderId="8" xfId="1" applyFont="1" applyFill="1" applyBorder="1" applyAlignment="1">
      <alignment horizontal="center" vertical="center" wrapText="1"/>
    </xf>
    <xf numFmtId="0" fontId="50" fillId="0" borderId="37" xfId="1" applyFont="1" applyFill="1" applyBorder="1" applyAlignment="1">
      <alignment horizontal="center" vertical="center" wrapText="1"/>
    </xf>
    <xf numFmtId="0" fontId="50" fillId="0" borderId="38" xfId="1" applyFont="1" applyFill="1" applyBorder="1" applyAlignment="1">
      <alignment horizontal="center" vertical="center" wrapText="1"/>
    </xf>
    <xf numFmtId="0" fontId="50" fillId="0" borderId="39" xfId="1" applyFont="1" applyFill="1" applyBorder="1" applyAlignment="1">
      <alignment horizontal="center" vertical="center" wrapText="1"/>
    </xf>
    <xf numFmtId="0" fontId="50" fillId="0" borderId="25" xfId="1" applyFont="1" applyFill="1" applyBorder="1" applyAlignment="1">
      <alignment horizontal="center" vertical="center" wrapText="1"/>
    </xf>
    <xf numFmtId="0" fontId="50" fillId="0" borderId="26" xfId="1" applyFont="1" applyFill="1" applyBorder="1" applyAlignment="1">
      <alignment horizontal="center" vertical="center" wrapText="1"/>
    </xf>
    <xf numFmtId="0" fontId="50" fillId="0" borderId="27" xfId="1" applyFont="1" applyFill="1" applyBorder="1" applyAlignment="1">
      <alignment horizontal="center" vertical="center" wrapText="1"/>
    </xf>
    <xf numFmtId="0" fontId="42" fillId="0" borderId="0" xfId="0" applyFont="1" applyFill="1" applyAlignment="1">
      <alignment horizontal="center" vertical="center"/>
    </xf>
    <xf numFmtId="0" fontId="45" fillId="0" borderId="0" xfId="0" applyFont="1" applyFill="1" applyAlignment="1">
      <alignment horizontal="center" vertical="center" wrapText="1"/>
    </xf>
    <xf numFmtId="0" fontId="46" fillId="0" borderId="33" xfId="0" applyFont="1" applyFill="1" applyBorder="1" applyAlignment="1">
      <alignment horizontal="center" vertical="center"/>
    </xf>
    <xf numFmtId="0" fontId="46" fillId="0" borderId="35" xfId="0" applyFont="1" applyFill="1" applyBorder="1" applyAlignment="1">
      <alignment horizontal="center" vertical="center"/>
    </xf>
    <xf numFmtId="0" fontId="46" fillId="0" borderId="36" xfId="0" applyFont="1" applyFill="1" applyBorder="1" applyAlignment="1">
      <alignment horizontal="center" vertical="center"/>
    </xf>
    <xf numFmtId="0" fontId="46" fillId="3" borderId="9" xfId="0" applyFont="1" applyFill="1" applyBorder="1" applyAlignment="1">
      <alignment horizontal="center" vertical="center" wrapText="1"/>
    </xf>
    <xf numFmtId="0" fontId="46" fillId="3" borderId="34"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7" xfId="0" applyFont="1" applyFill="1" applyBorder="1" applyAlignment="1">
      <alignment horizontal="center" vertical="center" wrapText="1"/>
    </xf>
    <xf numFmtId="1" fontId="47" fillId="4" borderId="1" xfId="0" applyNumberFormat="1" applyFont="1" applyFill="1" applyBorder="1" applyAlignment="1">
      <alignment horizontal="center" vertical="center" wrapText="1"/>
    </xf>
    <xf numFmtId="1" fontId="47" fillId="0" borderId="1" xfId="0" applyNumberFormat="1" applyFont="1" applyFill="1" applyBorder="1" applyAlignment="1">
      <alignment horizontal="center" vertical="center" wrapText="1"/>
    </xf>
    <xf numFmtId="1" fontId="47" fillId="0" borderId="8" xfId="0" applyNumberFormat="1" applyFont="1" applyFill="1" applyBorder="1" applyAlignment="1">
      <alignment horizontal="center" vertical="center" wrapText="1"/>
    </xf>
    <xf numFmtId="1" fontId="46" fillId="4" borderId="2" xfId="0" applyNumberFormat="1" applyFont="1" applyFill="1" applyBorder="1" applyAlignment="1">
      <alignment horizontal="center" vertical="center"/>
    </xf>
    <xf numFmtId="1" fontId="46" fillId="0" borderId="2" xfId="0" applyNumberFormat="1" applyFont="1" applyFill="1" applyBorder="1" applyAlignment="1">
      <alignment horizontal="center" vertical="center"/>
    </xf>
    <xf numFmtId="1" fontId="46" fillId="0" borderId="12" xfId="0" applyNumberFormat="1" applyFont="1" applyFill="1" applyBorder="1" applyAlignment="1">
      <alignment horizontal="center" vertical="center"/>
    </xf>
    <xf numFmtId="0" fontId="48" fillId="0" borderId="37"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2:K56"/>
  <sheetViews>
    <sheetView view="pageBreakPreview" topLeftCell="A13" zoomScale="60" zoomScaleNormal="70" workbookViewId="0">
      <selection activeCell="E27" sqref="E27"/>
    </sheetView>
  </sheetViews>
  <sheetFormatPr defaultRowHeight="12.75"/>
  <cols>
    <col min="1" max="1" width="8" style="85" customWidth="1"/>
    <col min="2" max="2" width="74.140625" style="85" customWidth="1"/>
    <col min="3" max="3" width="22" style="85" customWidth="1"/>
    <col min="4" max="4" width="25" style="85" customWidth="1"/>
    <col min="5" max="5" width="27" style="85" customWidth="1"/>
    <col min="6" max="6" width="26.42578125" style="85" customWidth="1"/>
    <col min="7" max="7" width="25" style="85" customWidth="1"/>
    <col min="8" max="8" width="20.42578125" style="85" customWidth="1"/>
    <col min="9" max="9" width="22.140625" style="85" customWidth="1"/>
    <col min="10" max="16384" width="9.140625" style="85"/>
  </cols>
  <sheetData>
    <row r="2" spans="1:9" ht="33">
      <c r="I2" s="86" t="s">
        <v>68</v>
      </c>
    </row>
    <row r="5" spans="1:9" ht="37.5">
      <c r="A5" s="303" t="s">
        <v>0</v>
      </c>
      <c r="B5" s="303"/>
      <c r="C5" s="303"/>
      <c r="D5" s="303"/>
      <c r="E5" s="303"/>
      <c r="F5" s="303"/>
      <c r="G5" s="303"/>
      <c r="H5" s="303"/>
      <c r="I5" s="303"/>
    </row>
    <row r="6" spans="1:9" ht="18" customHeight="1">
      <c r="A6" s="87"/>
      <c r="B6" s="87"/>
      <c r="C6" s="87"/>
      <c r="D6" s="87"/>
      <c r="E6" s="87"/>
    </row>
    <row r="8" spans="1:9" ht="30">
      <c r="A8" s="304" t="s">
        <v>42</v>
      </c>
      <c r="B8" s="304"/>
      <c r="C8" s="304"/>
      <c r="D8" s="304"/>
      <c r="E8" s="304"/>
      <c r="F8" s="304"/>
      <c r="G8" s="304"/>
      <c r="H8" s="304"/>
      <c r="I8" s="304"/>
    </row>
    <row r="10" spans="1:9" ht="30">
      <c r="A10" s="304" t="s">
        <v>67</v>
      </c>
      <c r="B10" s="304"/>
      <c r="C10" s="304"/>
      <c r="D10" s="304"/>
      <c r="E10" s="304"/>
      <c r="F10" s="304"/>
      <c r="G10" s="304"/>
      <c r="H10" s="304"/>
      <c r="I10" s="304"/>
    </row>
    <row r="11" spans="1:9" ht="13.5" thickBot="1"/>
    <row r="12" spans="1:9" ht="21.6" customHeight="1">
      <c r="A12" s="88"/>
      <c r="B12" s="89"/>
      <c r="C12" s="89"/>
      <c r="D12" s="311" t="s">
        <v>16</v>
      </c>
      <c r="E12" s="311"/>
      <c r="F12" s="311" t="s">
        <v>66</v>
      </c>
      <c r="G12" s="311"/>
      <c r="H12" s="311" t="s">
        <v>17</v>
      </c>
      <c r="I12" s="312"/>
    </row>
    <row r="13" spans="1:9" ht="21.6" customHeight="1">
      <c r="A13" s="90"/>
      <c r="B13" s="49"/>
      <c r="C13" s="49"/>
      <c r="D13" s="49" t="s">
        <v>14</v>
      </c>
      <c r="E13" s="49" t="s">
        <v>15</v>
      </c>
      <c r="F13" s="49" t="s">
        <v>14</v>
      </c>
      <c r="G13" s="49" t="s">
        <v>15</v>
      </c>
      <c r="H13" s="310" t="s">
        <v>14</v>
      </c>
      <c r="I13" s="305" t="s">
        <v>15</v>
      </c>
    </row>
    <row r="14" spans="1:9" ht="26.25" customHeight="1">
      <c r="A14" s="90"/>
      <c r="B14" s="49"/>
      <c r="C14" s="49"/>
      <c r="D14" s="310" t="s">
        <v>237</v>
      </c>
      <c r="E14" s="310"/>
      <c r="F14" s="310" t="s">
        <v>233</v>
      </c>
      <c r="G14" s="310"/>
      <c r="H14" s="310"/>
      <c r="I14" s="305"/>
    </row>
    <row r="15" spans="1:9" ht="24" customHeight="1">
      <c r="A15" s="90"/>
      <c r="B15" s="49"/>
      <c r="C15" s="49"/>
      <c r="D15" s="308"/>
      <c r="E15" s="309"/>
      <c r="F15" s="306"/>
      <c r="G15" s="307"/>
      <c r="H15" s="174"/>
      <c r="I15" s="163"/>
    </row>
    <row r="16" spans="1:9" ht="21.6" customHeight="1">
      <c r="A16" s="90" t="s">
        <v>63</v>
      </c>
      <c r="B16" s="92" t="s">
        <v>47</v>
      </c>
      <c r="C16" s="49"/>
      <c r="D16" s="161"/>
      <c r="E16" s="161"/>
      <c r="F16" s="153"/>
      <c r="G16" s="153"/>
      <c r="H16" s="174"/>
      <c r="I16" s="163"/>
    </row>
    <row r="17" spans="1:11" ht="21.6" customHeight="1">
      <c r="A17" s="90">
        <v>1</v>
      </c>
      <c r="B17" s="92" t="s">
        <v>122</v>
      </c>
      <c r="C17" s="49" t="s">
        <v>61</v>
      </c>
      <c r="D17" s="300">
        <f>+E17-2977.22</f>
        <v>2693.4270000000001</v>
      </c>
      <c r="E17" s="300">
        <v>5670.6469999999999</v>
      </c>
      <c r="F17" s="300">
        <f>+G17-3572.615</f>
        <v>2741.5150000000003</v>
      </c>
      <c r="G17" s="300">
        <v>6314.13</v>
      </c>
      <c r="H17" s="318">
        <f>(D17-F17)/F17</f>
        <v>-1.7540666383368389E-2</v>
      </c>
      <c r="I17" s="321">
        <f>(E17-G17)/G17</f>
        <v>-0.10191158560245041</v>
      </c>
    </row>
    <row r="18" spans="1:11" ht="21.6" customHeight="1">
      <c r="A18" s="90">
        <v>2</v>
      </c>
      <c r="B18" s="92" t="s">
        <v>110</v>
      </c>
      <c r="C18" s="49" t="s">
        <v>61</v>
      </c>
      <c r="D18" s="301"/>
      <c r="E18" s="301"/>
      <c r="F18" s="301"/>
      <c r="G18" s="301"/>
      <c r="H18" s="320"/>
      <c r="I18" s="323"/>
      <c r="J18" s="214"/>
      <c r="K18" s="215"/>
    </row>
    <row r="19" spans="1:11" ht="21.6" customHeight="1">
      <c r="A19" s="90">
        <v>3</v>
      </c>
      <c r="B19" s="92" t="s">
        <v>112</v>
      </c>
      <c r="C19" s="49" t="s">
        <v>61</v>
      </c>
      <c r="D19" s="302"/>
      <c r="E19" s="302"/>
      <c r="F19" s="302"/>
      <c r="G19" s="302"/>
      <c r="H19" s="319"/>
      <c r="I19" s="322"/>
    </row>
    <row r="20" spans="1:11" ht="21.6" customHeight="1">
      <c r="A20" s="90"/>
      <c r="B20" s="92" t="s">
        <v>113</v>
      </c>
      <c r="C20" s="49" t="s">
        <v>61</v>
      </c>
      <c r="D20" s="20"/>
      <c r="E20" s="20"/>
      <c r="F20" s="20"/>
      <c r="G20" s="20"/>
      <c r="H20" s="175"/>
      <c r="I20" s="176"/>
    </row>
    <row r="21" spans="1:11" ht="21.6" customHeight="1">
      <c r="A21" s="90"/>
      <c r="B21" s="92" t="s">
        <v>114</v>
      </c>
      <c r="C21" s="49" t="s">
        <v>61</v>
      </c>
      <c r="D21" s="20"/>
      <c r="E21" s="20"/>
      <c r="F21" s="20"/>
      <c r="G21" s="20"/>
      <c r="H21" s="175"/>
      <c r="I21" s="176"/>
    </row>
    <row r="22" spans="1:11" ht="21.6" customHeight="1">
      <c r="A22" s="90"/>
      <c r="B22" s="92" t="s">
        <v>48</v>
      </c>
      <c r="C22" s="49" t="s">
        <v>61</v>
      </c>
      <c r="D22" s="171">
        <f>+D17+D20+D21</f>
        <v>2693.4270000000001</v>
      </c>
      <c r="E22" s="171">
        <f>+E17+E20+E21</f>
        <v>5670.6469999999999</v>
      </c>
      <c r="F22" s="203">
        <f>+F17+F20+F21</f>
        <v>2741.5150000000003</v>
      </c>
      <c r="G22" s="203">
        <f>+G17+G20+G21</f>
        <v>6314.13</v>
      </c>
      <c r="H22" s="173">
        <f>(D22-F22)/F22</f>
        <v>-1.7540666383368389E-2</v>
      </c>
      <c r="I22" s="177">
        <f>(E22-G22)/G22</f>
        <v>-0.10191158560245041</v>
      </c>
    </row>
    <row r="23" spans="1:11" ht="21.6" customHeight="1">
      <c r="A23" s="90"/>
      <c r="B23" s="92"/>
      <c r="C23" s="49"/>
      <c r="D23" s="20"/>
      <c r="E23" s="20"/>
      <c r="F23" s="20"/>
      <c r="G23" s="20"/>
      <c r="H23" s="175"/>
      <c r="I23" s="176"/>
    </row>
    <row r="24" spans="1:11" ht="21.6" customHeight="1">
      <c r="A24" s="90" t="s">
        <v>64</v>
      </c>
      <c r="B24" s="92" t="s">
        <v>49</v>
      </c>
      <c r="C24" s="49"/>
      <c r="D24" s="20"/>
      <c r="E24" s="20"/>
      <c r="F24" s="20"/>
      <c r="G24" s="20"/>
      <c r="H24" s="175"/>
      <c r="I24" s="176"/>
    </row>
    <row r="25" spans="1:11" ht="21.6" customHeight="1">
      <c r="A25" s="90">
        <v>1</v>
      </c>
      <c r="B25" s="92" t="s">
        <v>50</v>
      </c>
      <c r="C25" s="49" t="s">
        <v>61</v>
      </c>
      <c r="D25" s="171">
        <f>+D17</f>
        <v>2693.4270000000001</v>
      </c>
      <c r="E25" s="171">
        <f>+E22</f>
        <v>5670.6469999999999</v>
      </c>
      <c r="F25" s="203">
        <f>+F17</f>
        <v>2741.5150000000003</v>
      </c>
      <c r="G25" s="203">
        <f>+G22</f>
        <v>6314.13</v>
      </c>
      <c r="H25" s="173">
        <f t="shared" ref="H25:I37" si="0">(D25-F25)/F25</f>
        <v>-1.7540666383368389E-2</v>
      </c>
      <c r="I25" s="177">
        <f t="shared" si="0"/>
        <v>-0.10191158560245041</v>
      </c>
    </row>
    <row r="26" spans="1:11" ht="21.6" customHeight="1">
      <c r="A26" s="90">
        <v>2</v>
      </c>
      <c r="B26" s="92" t="s">
        <v>51</v>
      </c>
      <c r="C26" s="49" t="s">
        <v>61</v>
      </c>
      <c r="D26" s="171">
        <f>+D25</f>
        <v>2693.4270000000001</v>
      </c>
      <c r="E26" s="171">
        <f>+E25</f>
        <v>5670.6469999999999</v>
      </c>
      <c r="F26" s="203">
        <f>+F25</f>
        <v>2741.5150000000003</v>
      </c>
      <c r="G26" s="203">
        <f>+G25</f>
        <v>6314.13</v>
      </c>
      <c r="H26" s="173">
        <f t="shared" si="0"/>
        <v>-1.7540666383368389E-2</v>
      </c>
      <c r="I26" s="177">
        <f t="shared" si="0"/>
        <v>-0.10191158560245041</v>
      </c>
    </row>
    <row r="27" spans="1:11" ht="21.6" customHeight="1">
      <c r="A27" s="90">
        <v>3</v>
      </c>
      <c r="B27" s="92" t="s">
        <v>111</v>
      </c>
      <c r="C27" s="49" t="s">
        <v>61</v>
      </c>
      <c r="D27" s="171">
        <f>+E27-2493.53</f>
        <v>2326.3200000000002</v>
      </c>
      <c r="E27" s="171">
        <v>4819.8500000000004</v>
      </c>
      <c r="F27" s="203">
        <f>+G27-2911.87</f>
        <v>2461.9324241903232</v>
      </c>
      <c r="G27" s="203">
        <v>5373.8024241903231</v>
      </c>
      <c r="H27" s="173">
        <f t="shared" si="0"/>
        <v>-5.5083731323341691E-2</v>
      </c>
      <c r="I27" s="177">
        <f t="shared" si="0"/>
        <v>-0.10308388371271156</v>
      </c>
    </row>
    <row r="28" spans="1:11" ht="21.6" customHeight="1">
      <c r="A28" s="90">
        <v>4</v>
      </c>
      <c r="B28" s="92" t="s">
        <v>115</v>
      </c>
      <c r="C28" s="49" t="s">
        <v>61</v>
      </c>
      <c r="D28" s="171">
        <f>+D26-D27</f>
        <v>367.10699999999997</v>
      </c>
      <c r="E28" s="171">
        <f>+E26-E27</f>
        <v>850.79699999999957</v>
      </c>
      <c r="F28" s="203">
        <f>+F26-F27</f>
        <v>279.58257580967711</v>
      </c>
      <c r="G28" s="203">
        <f>+G26-G27</f>
        <v>940.327575809677</v>
      </c>
      <c r="H28" s="173">
        <f t="shared" si="0"/>
        <v>0.3130539302631799</v>
      </c>
      <c r="I28" s="173">
        <f t="shared" si="0"/>
        <v>-9.5212113430350451E-2</v>
      </c>
    </row>
    <row r="29" spans="1:11" ht="21.6" customHeight="1">
      <c r="A29" s="90">
        <v>5</v>
      </c>
      <c r="B29" s="92" t="s">
        <v>52</v>
      </c>
      <c r="C29" s="49" t="s">
        <v>34</v>
      </c>
      <c r="D29" s="172">
        <f>+(D28/D26)</f>
        <v>0.13629736391593311</v>
      </c>
      <c r="E29" s="172">
        <f>+(E28/E26)</f>
        <v>0.15003526052670879</v>
      </c>
      <c r="F29" s="239">
        <f>+(F28/F26)</f>
        <v>0.10198104909499933</v>
      </c>
      <c r="G29" s="239">
        <f>+(G28/G26)</f>
        <v>0.14892432937074102</v>
      </c>
      <c r="H29" s="173">
        <f>D29-F29</f>
        <v>3.431631482093378E-2</v>
      </c>
      <c r="I29" s="173">
        <f>E29-G29</f>
        <v>1.1109311559677759E-3</v>
      </c>
    </row>
    <row r="30" spans="1:11" ht="21.6" customHeight="1">
      <c r="A30" s="90"/>
      <c r="B30" s="92"/>
      <c r="C30" s="49"/>
      <c r="D30" s="20"/>
      <c r="E30" s="20"/>
      <c r="F30" s="203"/>
      <c r="G30" s="203"/>
      <c r="H30" s="173"/>
      <c r="I30" s="177"/>
    </row>
    <row r="31" spans="1:11" ht="21.6" customHeight="1">
      <c r="A31" s="90" t="s">
        <v>65</v>
      </c>
      <c r="B31" s="92" t="s">
        <v>53</v>
      </c>
      <c r="C31" s="49"/>
      <c r="D31" s="20"/>
      <c r="E31" s="20"/>
      <c r="F31" s="203"/>
      <c r="G31" s="203"/>
      <c r="H31" s="173"/>
      <c r="I31" s="177"/>
    </row>
    <row r="32" spans="1:11" ht="21.6" customHeight="1">
      <c r="A32" s="90">
        <v>1</v>
      </c>
      <c r="B32" s="92" t="s">
        <v>54</v>
      </c>
      <c r="C32" s="316" t="s">
        <v>62</v>
      </c>
      <c r="D32" s="300">
        <f>+E32-1635.37</f>
        <v>1793.1590000000001</v>
      </c>
      <c r="E32" s="300">
        <f>+'SHEET-5'!E25+37.1+15.47+85.46+97.8+74.07+70.26</f>
        <v>3428.529</v>
      </c>
      <c r="F32" s="300">
        <f>+G32-1984.52</f>
        <v>1883.8256591754998</v>
      </c>
      <c r="G32" s="300">
        <f>+'SHEET-5'!G25+63.46+67.51+76.43+82.27+82.43+77.06</f>
        <v>3868.3456591754998</v>
      </c>
      <c r="H32" s="318">
        <f t="shared" si="0"/>
        <v>-4.8129007444978798E-2</v>
      </c>
      <c r="I32" s="321">
        <f t="shared" si="0"/>
        <v>-0.11369631825229456</v>
      </c>
    </row>
    <row r="33" spans="1:9" ht="21.6" customHeight="1">
      <c r="A33" s="90">
        <v>2</v>
      </c>
      <c r="B33" s="92" t="s">
        <v>55</v>
      </c>
      <c r="C33" s="317"/>
      <c r="D33" s="302"/>
      <c r="E33" s="302"/>
      <c r="F33" s="302"/>
      <c r="G33" s="302"/>
      <c r="H33" s="319"/>
      <c r="I33" s="322"/>
    </row>
    <row r="34" spans="1:9" ht="21.6" customHeight="1">
      <c r="A34" s="90">
        <v>3</v>
      </c>
      <c r="B34" s="92" t="s">
        <v>56</v>
      </c>
      <c r="C34" s="49" t="s">
        <v>62</v>
      </c>
      <c r="D34" s="171">
        <f>+D32</f>
        <v>1793.1590000000001</v>
      </c>
      <c r="E34" s="171">
        <f>+E32</f>
        <v>3428.529</v>
      </c>
      <c r="F34" s="203">
        <f>+F32</f>
        <v>1883.8256591754998</v>
      </c>
      <c r="G34" s="203">
        <f>+G32</f>
        <v>3868.3456591754998</v>
      </c>
      <c r="H34" s="173">
        <f t="shared" si="0"/>
        <v>-4.8129007444978798E-2</v>
      </c>
      <c r="I34" s="177">
        <f t="shared" si="0"/>
        <v>-0.11369631825229456</v>
      </c>
    </row>
    <row r="35" spans="1:9" ht="21.6" customHeight="1">
      <c r="A35" s="90">
        <v>4</v>
      </c>
      <c r="B35" s="92" t="s">
        <v>57</v>
      </c>
      <c r="C35" s="316" t="s">
        <v>62</v>
      </c>
      <c r="D35" s="314">
        <f>+E35-1407.64</f>
        <v>1866.84</v>
      </c>
      <c r="E35" s="314">
        <v>3274.48</v>
      </c>
      <c r="F35" s="314">
        <f>+G35-1913.2</f>
        <v>1833.9199999999998</v>
      </c>
      <c r="G35" s="314">
        <v>3747.12</v>
      </c>
      <c r="H35" s="318">
        <f t="shared" si="0"/>
        <v>1.795061943814347E-2</v>
      </c>
      <c r="I35" s="321">
        <f t="shared" si="0"/>
        <v>-0.12613420440231429</v>
      </c>
    </row>
    <row r="36" spans="1:9" ht="21.6" customHeight="1">
      <c r="A36" s="90">
        <v>5</v>
      </c>
      <c r="B36" s="92" t="s">
        <v>58</v>
      </c>
      <c r="C36" s="317"/>
      <c r="D36" s="315"/>
      <c r="E36" s="315"/>
      <c r="F36" s="315"/>
      <c r="G36" s="315"/>
      <c r="H36" s="319"/>
      <c r="I36" s="322"/>
    </row>
    <row r="37" spans="1:9" ht="21.6" customHeight="1">
      <c r="A37" s="90">
        <v>6</v>
      </c>
      <c r="B37" s="92" t="s">
        <v>59</v>
      </c>
      <c r="C37" s="49" t="s">
        <v>62</v>
      </c>
      <c r="D37" s="206">
        <f>+D35</f>
        <v>1866.84</v>
      </c>
      <c r="E37" s="206">
        <f>+E35</f>
        <v>3274.48</v>
      </c>
      <c r="F37" s="203">
        <f>+F35</f>
        <v>1833.9199999999998</v>
      </c>
      <c r="G37" s="203">
        <f>+G35</f>
        <v>3747.12</v>
      </c>
      <c r="H37" s="173">
        <f t="shared" si="0"/>
        <v>1.795061943814347E-2</v>
      </c>
      <c r="I37" s="177">
        <f t="shared" si="0"/>
        <v>-0.12613420440231429</v>
      </c>
    </row>
    <row r="38" spans="1:9" ht="21.6" customHeight="1">
      <c r="A38" s="90">
        <v>7</v>
      </c>
      <c r="B38" s="92" t="s">
        <v>60</v>
      </c>
      <c r="C38" s="49" t="s">
        <v>34</v>
      </c>
      <c r="D38" s="207">
        <f>+D37/D34</f>
        <v>1.0410900539215986</v>
      </c>
      <c r="E38" s="207">
        <f>+E37/E34</f>
        <v>0.95506848563917646</v>
      </c>
      <c r="F38" s="198">
        <f t="shared" ref="F38:G38" si="1">F37/F34</f>
        <v>0.97350834514201157</v>
      </c>
      <c r="G38" s="198">
        <f t="shared" si="1"/>
        <v>0.96866214401291684</v>
      </c>
      <c r="H38" s="173">
        <f>D38-F38</f>
        <v>6.7581708779587024E-2</v>
      </c>
      <c r="I38" s="173">
        <f>E38-G38</f>
        <v>-1.359365837374038E-2</v>
      </c>
    </row>
    <row r="39" spans="1:9" ht="21.6" customHeight="1" thickBot="1">
      <c r="A39" s="94"/>
      <c r="B39" s="95"/>
      <c r="C39" s="21"/>
      <c r="D39" s="162"/>
      <c r="E39" s="162"/>
      <c r="F39" s="21"/>
      <c r="G39" s="21"/>
      <c r="H39" s="162"/>
      <c r="I39" s="164"/>
    </row>
    <row r="40" spans="1:9" ht="18">
      <c r="F40" s="96"/>
      <c r="G40" s="96"/>
      <c r="H40" s="5"/>
      <c r="I40" s="5"/>
    </row>
    <row r="42" spans="1:9">
      <c r="E42" s="208"/>
    </row>
    <row r="43" spans="1:9" ht="41.25" customHeight="1">
      <c r="A43" s="313"/>
      <c r="B43" s="313"/>
      <c r="E43" s="24"/>
      <c r="F43" s="215"/>
    </row>
    <row r="47" spans="1:9" ht="18">
      <c r="D47" s="190"/>
      <c r="E47" s="190"/>
      <c r="F47" s="218"/>
    </row>
    <row r="48" spans="1:9" ht="20.25">
      <c r="D48" s="85">
        <f>629.78+684.15+754.8+772.65+783.17+735.21</f>
        <v>4359.76</v>
      </c>
      <c r="E48" s="85">
        <f>574.13+690.79+735.9+780.03+724.2+714.82</f>
        <v>4219.87</v>
      </c>
      <c r="F48" s="219">
        <f>+E48/D48</f>
        <v>0.96791337137824096</v>
      </c>
    </row>
    <row r="56" spans="4:4">
      <c r="D56" s="97"/>
    </row>
  </sheetData>
  <mergeCells count="33">
    <mergeCell ref="H35:H36"/>
    <mergeCell ref="F17:F19"/>
    <mergeCell ref="G17:G19"/>
    <mergeCell ref="H17:H19"/>
    <mergeCell ref="I35:I36"/>
    <mergeCell ref="G35:G36"/>
    <mergeCell ref="I32:I33"/>
    <mergeCell ref="G32:G33"/>
    <mergeCell ref="I17:I19"/>
    <mergeCell ref="H32:H33"/>
    <mergeCell ref="A43:B43"/>
    <mergeCell ref="D32:D33"/>
    <mergeCell ref="E32:E33"/>
    <mergeCell ref="F32:F33"/>
    <mergeCell ref="E35:E36"/>
    <mergeCell ref="D35:D36"/>
    <mergeCell ref="F35:F36"/>
    <mergeCell ref="C35:C36"/>
    <mergeCell ref="C32:C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s>
  <phoneticPr fontId="1"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dimension ref="B1:S14"/>
  <sheetViews>
    <sheetView topLeftCell="A7" workbookViewId="0">
      <selection activeCell="M5" sqref="M5"/>
    </sheetView>
  </sheetViews>
  <sheetFormatPr defaultRowHeight="12.75"/>
  <cols>
    <col min="1" max="1" width="1.85546875" style="249" customWidth="1"/>
    <col min="2" max="2" width="4.7109375" style="249" customWidth="1"/>
    <col min="3" max="3" width="25.85546875" style="274" customWidth="1"/>
    <col min="4" max="4" width="5" style="249" customWidth="1"/>
    <col min="5" max="5" width="15.28515625" style="249" customWidth="1"/>
    <col min="6" max="6" width="19" style="249" customWidth="1"/>
    <col min="7" max="7" width="15.28515625" style="249" customWidth="1"/>
    <col min="8" max="8" width="15.85546875" style="249" customWidth="1"/>
    <col min="9" max="9" width="18.5703125" style="249" customWidth="1"/>
    <col min="10" max="12" width="12.5703125" style="249" customWidth="1"/>
    <col min="13" max="13" width="3" style="249" customWidth="1"/>
    <col min="14" max="17" width="12.5703125" style="249" customWidth="1"/>
    <col min="18" max="18" width="2.7109375" style="249" customWidth="1"/>
    <col min="19" max="22" width="12.5703125" style="249" customWidth="1"/>
    <col min="23" max="16384" width="9.140625" style="249"/>
  </cols>
  <sheetData>
    <row r="1" spans="2:19" ht="39" customHeight="1">
      <c r="B1" s="391" t="s">
        <v>239</v>
      </c>
      <c r="C1" s="391"/>
      <c r="D1" s="391"/>
      <c r="E1" s="391"/>
      <c r="F1" s="391"/>
      <c r="G1" s="391"/>
      <c r="H1" s="391"/>
      <c r="I1" s="391"/>
    </row>
    <row r="2" spans="2:19" ht="30.75" customHeight="1">
      <c r="B2" s="247" t="s">
        <v>240</v>
      </c>
      <c r="C2" s="248"/>
      <c r="D2" s="248"/>
      <c r="E2" s="248"/>
      <c r="F2" s="248"/>
      <c r="H2" s="248"/>
      <c r="I2" s="250" t="s">
        <v>241</v>
      </c>
    </row>
    <row r="3" spans="2:19" ht="33" customHeight="1" thickBot="1">
      <c r="B3" s="392" t="s">
        <v>242</v>
      </c>
      <c r="C3" s="392"/>
      <c r="D3" s="392"/>
      <c r="E3" s="392"/>
      <c r="F3" s="392"/>
      <c r="G3" s="392"/>
      <c r="H3" s="392"/>
      <c r="I3" s="392"/>
    </row>
    <row r="4" spans="2:19" ht="48.75" customHeight="1">
      <c r="B4" s="393" t="s">
        <v>243</v>
      </c>
      <c r="C4" s="396" t="s">
        <v>244</v>
      </c>
      <c r="D4" s="397"/>
      <c r="E4" s="251" t="s">
        <v>245</v>
      </c>
      <c r="F4" s="398" t="s">
        <v>246</v>
      </c>
      <c r="G4" s="398"/>
      <c r="H4" s="398" t="s">
        <v>247</v>
      </c>
      <c r="I4" s="399"/>
      <c r="L4" s="264"/>
    </row>
    <row r="5" spans="2:19" ht="25.5" customHeight="1">
      <c r="B5" s="394"/>
      <c r="C5" s="252" t="s">
        <v>248</v>
      </c>
      <c r="D5" s="253" t="s">
        <v>249</v>
      </c>
      <c r="E5" s="254"/>
      <c r="F5" s="400">
        <v>62512</v>
      </c>
      <c r="G5" s="400"/>
      <c r="H5" s="401">
        <v>118399</v>
      </c>
      <c r="I5" s="402"/>
      <c r="K5" s="265"/>
      <c r="L5" s="266"/>
      <c r="M5" s="266"/>
    </row>
    <row r="6" spans="2:19" ht="25.5" customHeight="1">
      <c r="B6" s="394"/>
      <c r="C6" s="252" t="s">
        <v>250</v>
      </c>
      <c r="D6" s="253" t="s">
        <v>249</v>
      </c>
      <c r="E6" s="254"/>
      <c r="F6" s="400">
        <v>17165</v>
      </c>
      <c r="G6" s="400"/>
      <c r="H6" s="401">
        <v>13661</v>
      </c>
      <c r="I6" s="402"/>
      <c r="K6" s="265"/>
      <c r="L6" s="266"/>
      <c r="M6" s="266"/>
    </row>
    <row r="7" spans="2:19" ht="25.5" customHeight="1" thickBot="1">
      <c r="B7" s="395"/>
      <c r="C7" s="255" t="s">
        <v>251</v>
      </c>
      <c r="D7" s="256" t="s">
        <v>249</v>
      </c>
      <c r="E7" s="257"/>
      <c r="F7" s="403">
        <f>SUM(F5:F6)</f>
        <v>79677</v>
      </c>
      <c r="G7" s="403"/>
      <c r="H7" s="404">
        <f>SUM(H5:H6)</f>
        <v>132060</v>
      </c>
      <c r="I7" s="405"/>
      <c r="K7" s="267"/>
    </row>
    <row r="8" spans="2:19" s="268" customFormat="1" ht="48.75" customHeight="1">
      <c r="B8" s="393" t="s">
        <v>252</v>
      </c>
      <c r="C8" s="396" t="s">
        <v>253</v>
      </c>
      <c r="D8" s="397"/>
      <c r="E8" s="251" t="s">
        <v>254</v>
      </c>
      <c r="F8" s="251" t="s">
        <v>255</v>
      </c>
      <c r="G8" s="251" t="s">
        <v>256</v>
      </c>
      <c r="H8" s="251" t="s">
        <v>257</v>
      </c>
      <c r="I8" s="258" t="s">
        <v>258</v>
      </c>
      <c r="K8" s="249"/>
      <c r="L8" s="269"/>
      <c r="M8" s="269"/>
    </row>
    <row r="9" spans="2:19" ht="25.5" customHeight="1">
      <c r="B9" s="394"/>
      <c r="C9" s="252" t="s">
        <v>248</v>
      </c>
      <c r="D9" s="253" t="s">
        <v>249</v>
      </c>
      <c r="E9" s="259">
        <v>1550</v>
      </c>
      <c r="F9" s="260">
        <v>24680</v>
      </c>
      <c r="G9" s="259">
        <v>26230</v>
      </c>
      <c r="H9" s="260">
        <v>23315</v>
      </c>
      <c r="I9" s="261">
        <v>2915</v>
      </c>
      <c r="L9" s="266"/>
    </row>
    <row r="10" spans="2:19" ht="25.5" customHeight="1">
      <c r="B10" s="394"/>
      <c r="C10" s="252" t="s">
        <v>250</v>
      </c>
      <c r="D10" s="253" t="s">
        <v>249</v>
      </c>
      <c r="E10" s="259">
        <v>568</v>
      </c>
      <c r="F10" s="260">
        <v>3300</v>
      </c>
      <c r="G10" s="259">
        <v>3868</v>
      </c>
      <c r="H10" s="260">
        <v>3467</v>
      </c>
      <c r="I10" s="261">
        <v>401</v>
      </c>
      <c r="L10" s="266"/>
    </row>
    <row r="11" spans="2:19" ht="25.5" customHeight="1" thickBot="1">
      <c r="B11" s="395"/>
      <c r="C11" s="255" t="s">
        <v>251</v>
      </c>
      <c r="D11" s="256" t="s">
        <v>249</v>
      </c>
      <c r="E11" s="262">
        <f>E9+E10</f>
        <v>2118</v>
      </c>
      <c r="F11" s="262">
        <f>F9+F10</f>
        <v>27980</v>
      </c>
      <c r="G11" s="262">
        <f t="shared" ref="G11:I11" si="0">SUM(G9:G10)</f>
        <v>30098</v>
      </c>
      <c r="H11" s="262">
        <f t="shared" si="0"/>
        <v>26782</v>
      </c>
      <c r="I11" s="263">
        <f t="shared" si="0"/>
        <v>3316</v>
      </c>
    </row>
    <row r="12" spans="2:19" s="270" customFormat="1" ht="50.25" customHeight="1" thickBot="1">
      <c r="B12" s="406" t="s">
        <v>259</v>
      </c>
      <c r="C12" s="407"/>
      <c r="D12" s="407"/>
      <c r="E12" s="407"/>
      <c r="F12" s="407"/>
      <c r="G12" s="407"/>
      <c r="H12" s="407"/>
      <c r="I12" s="408"/>
    </row>
    <row r="13" spans="2:19" s="270" customFormat="1" ht="30" customHeight="1">
      <c r="B13" s="271"/>
      <c r="C13" s="271"/>
      <c r="D13" s="271"/>
      <c r="E13" s="271"/>
      <c r="F13" s="271"/>
      <c r="G13" s="271"/>
      <c r="H13" s="271"/>
      <c r="I13" s="271"/>
    </row>
    <row r="14" spans="2:19" s="268" customFormat="1">
      <c r="C14" s="272"/>
      <c r="N14" s="273"/>
      <c r="S14" s="273"/>
    </row>
  </sheetData>
  <mergeCells count="15">
    <mergeCell ref="B8:B11"/>
    <mergeCell ref="C8:D8"/>
    <mergeCell ref="B12:I12"/>
    <mergeCell ref="B1:I1"/>
    <mergeCell ref="B3:I3"/>
    <mergeCell ref="B4:B7"/>
    <mergeCell ref="C4:D4"/>
    <mergeCell ref="F4:G4"/>
    <mergeCell ref="H4:I4"/>
    <mergeCell ref="F5:G5"/>
    <mergeCell ref="H5:I5"/>
    <mergeCell ref="F6:G6"/>
    <mergeCell ref="H6:I6"/>
    <mergeCell ref="F7:G7"/>
    <mergeCell ref="H7:I7"/>
  </mergeCells>
  <printOptions horizontalCentered="1" verticalCentered="1"/>
  <pageMargins left="0.7" right="0.7" top="0.75" bottom="0.7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FF00"/>
  </sheetPr>
  <dimension ref="A2:L35"/>
  <sheetViews>
    <sheetView view="pageBreakPreview" topLeftCell="A10" zoomScale="60" zoomScaleNormal="50" workbookViewId="0">
      <selection activeCell="E28" sqref="E28"/>
    </sheetView>
  </sheetViews>
  <sheetFormatPr defaultRowHeight="12.75"/>
  <cols>
    <col min="1" max="1" width="8" style="85" customWidth="1"/>
    <col min="2" max="2" width="62.7109375" style="85" customWidth="1"/>
    <col min="3" max="3" width="22" style="85" customWidth="1"/>
    <col min="4" max="4" width="23" style="85" customWidth="1"/>
    <col min="5" max="5" width="24.42578125" style="85" customWidth="1"/>
    <col min="6" max="6" width="20.42578125" style="85" customWidth="1"/>
    <col min="7" max="7" width="25" style="85" customWidth="1"/>
    <col min="8" max="9" width="21.85546875" style="85" bestFit="1" customWidth="1"/>
    <col min="10" max="10" width="9.140625" style="85"/>
    <col min="11" max="11" width="15.28515625" style="85" bestFit="1" customWidth="1"/>
    <col min="12" max="12" width="21.85546875" style="85" bestFit="1" customWidth="1"/>
    <col min="13" max="16384" width="9.140625" style="85"/>
  </cols>
  <sheetData>
    <row r="2" spans="1:9" ht="33">
      <c r="I2" s="86" t="s">
        <v>80</v>
      </c>
    </row>
    <row r="5" spans="1:9" ht="34.5">
      <c r="A5" s="324" t="s">
        <v>0</v>
      </c>
      <c r="B5" s="324"/>
      <c r="C5" s="324"/>
      <c r="D5" s="324"/>
      <c r="E5" s="324"/>
      <c r="F5" s="324"/>
      <c r="G5" s="324"/>
      <c r="H5" s="324"/>
      <c r="I5" s="324"/>
    </row>
    <row r="6" spans="1:9" ht="18" customHeight="1">
      <c r="A6" s="87"/>
      <c r="B6" s="87"/>
      <c r="C6" s="87"/>
      <c r="D6" s="87"/>
      <c r="E6" s="87"/>
    </row>
    <row r="8" spans="1:9" ht="30">
      <c r="A8" s="304" t="s">
        <v>79</v>
      </c>
      <c r="B8" s="304"/>
      <c r="C8" s="304"/>
      <c r="D8" s="304"/>
      <c r="E8" s="304"/>
      <c r="F8" s="304"/>
      <c r="G8" s="304"/>
      <c r="H8" s="304"/>
      <c r="I8" s="304"/>
    </row>
    <row r="10" spans="1:9" ht="30">
      <c r="A10" s="304" t="s">
        <v>78</v>
      </c>
      <c r="B10" s="304"/>
      <c r="C10" s="304"/>
      <c r="D10" s="304"/>
      <c r="E10" s="304"/>
      <c r="F10" s="304"/>
      <c r="G10" s="304"/>
      <c r="H10" s="304"/>
      <c r="I10" s="304"/>
    </row>
    <row r="11" spans="1:9" ht="13.5" thickBot="1"/>
    <row r="12" spans="1:9" ht="24" customHeight="1">
      <c r="A12" s="88"/>
      <c r="B12" s="89"/>
      <c r="C12" s="89"/>
      <c r="D12" s="311" t="s">
        <v>16</v>
      </c>
      <c r="E12" s="311"/>
      <c r="F12" s="311" t="s">
        <v>66</v>
      </c>
      <c r="G12" s="311"/>
      <c r="H12" s="325" t="s">
        <v>17</v>
      </c>
      <c r="I12" s="312"/>
    </row>
    <row r="13" spans="1:9" ht="24" customHeight="1">
      <c r="A13" s="90"/>
      <c r="B13" s="49"/>
      <c r="C13" s="49"/>
      <c r="D13" s="49" t="s">
        <v>14</v>
      </c>
      <c r="E13" s="49" t="s">
        <v>15</v>
      </c>
      <c r="F13" s="49" t="s">
        <v>14</v>
      </c>
      <c r="G13" s="49" t="s">
        <v>15</v>
      </c>
      <c r="H13" s="310" t="s">
        <v>14</v>
      </c>
      <c r="I13" s="326" t="s">
        <v>15</v>
      </c>
    </row>
    <row r="14" spans="1:9" ht="33" customHeight="1">
      <c r="A14" s="90"/>
      <c r="B14" s="49"/>
      <c r="C14" s="49"/>
      <c r="D14" s="310" t="str">
        <f>+'SHEET-1'!D14:E14</f>
        <v>July-2020 to Sept-2020</v>
      </c>
      <c r="E14" s="310"/>
      <c r="F14" s="310" t="str">
        <f>+'SHEET-1'!F14:G14</f>
        <v>July-2019 to Sept-2019</v>
      </c>
      <c r="G14" s="310"/>
      <c r="H14" s="310"/>
      <c r="I14" s="326"/>
    </row>
    <row r="15" spans="1:9" ht="24" customHeight="1">
      <c r="A15" s="90" t="s">
        <v>63</v>
      </c>
      <c r="B15" s="49" t="s">
        <v>76</v>
      </c>
      <c r="C15" s="49"/>
      <c r="D15" s="167"/>
      <c r="E15" s="167"/>
      <c r="F15" s="167"/>
      <c r="G15" s="167"/>
      <c r="H15" s="167"/>
      <c r="I15" s="168"/>
    </row>
    <row r="16" spans="1:9" ht="24" customHeight="1">
      <c r="A16" s="90">
        <v>1</v>
      </c>
      <c r="B16" s="92" t="s">
        <v>123</v>
      </c>
      <c r="C16" s="49" t="s">
        <v>77</v>
      </c>
      <c r="D16" s="192">
        <f>ROUND(+('SHEET-3'!D15/'SHEET-1'!D22)*10,2)</f>
        <v>4.9800000000000004</v>
      </c>
      <c r="E16" s="171">
        <f>ROUND(+('SHEET-3'!E15/'SHEET-1'!E22)*10,2)</f>
        <v>4.76</v>
      </c>
      <c r="F16" s="192">
        <f>ROUND(+('SHEET-3'!F15/'SHEET-1'!F22)*10,2)</f>
        <v>5.05</v>
      </c>
      <c r="G16" s="192">
        <f>ROUND(+('SHEET-3'!G15/'SHEET-1'!G22)*10,2)</f>
        <v>4.7699999999999996</v>
      </c>
      <c r="H16" s="172">
        <f>(D16-F16)/F16</f>
        <v>-1.3861386138613742E-2</v>
      </c>
      <c r="I16" s="170">
        <f>(E16-G16)/G16</f>
        <v>-2.0964360587001651E-3</v>
      </c>
    </row>
    <row r="17" spans="1:12" ht="24" customHeight="1">
      <c r="A17" s="90">
        <v>2</v>
      </c>
      <c r="B17" s="92" t="s">
        <v>69</v>
      </c>
      <c r="C17" s="49" t="s">
        <v>77</v>
      </c>
      <c r="D17" s="171"/>
      <c r="E17" s="171"/>
      <c r="F17" s="198"/>
      <c r="G17" s="171"/>
      <c r="H17" s="20"/>
      <c r="I17" s="182"/>
    </row>
    <row r="18" spans="1:12" ht="24" customHeight="1">
      <c r="A18" s="90">
        <v>3</v>
      </c>
      <c r="B18" s="92" t="s">
        <v>70</v>
      </c>
      <c r="C18" s="49" t="s">
        <v>77</v>
      </c>
      <c r="D18" s="171"/>
      <c r="E18" s="171"/>
      <c r="F18" s="171"/>
      <c r="G18" s="171"/>
      <c r="H18" s="20"/>
      <c r="I18" s="182"/>
    </row>
    <row r="19" spans="1:12" ht="24" customHeight="1">
      <c r="A19" s="90">
        <v>4</v>
      </c>
      <c r="B19" s="92" t="s">
        <v>71</v>
      </c>
      <c r="C19" s="49" t="s">
        <v>77</v>
      </c>
      <c r="D19" s="171"/>
      <c r="E19" s="171"/>
      <c r="F19" s="171"/>
      <c r="G19" s="171"/>
      <c r="H19" s="20"/>
      <c r="I19" s="182"/>
    </row>
    <row r="20" spans="1:12" ht="24" customHeight="1">
      <c r="A20" s="90">
        <v>5</v>
      </c>
      <c r="B20" s="92" t="s">
        <v>72</v>
      </c>
      <c r="C20" s="49" t="s">
        <v>77</v>
      </c>
      <c r="D20" s="171"/>
      <c r="E20" s="171"/>
      <c r="F20" s="171"/>
      <c r="G20" s="171"/>
      <c r="H20" s="20"/>
      <c r="I20" s="182"/>
    </row>
    <row r="21" spans="1:12" ht="28.5" customHeight="1">
      <c r="A21" s="90">
        <v>6</v>
      </c>
      <c r="B21" s="92" t="s">
        <v>228</v>
      </c>
      <c r="C21" s="49" t="s">
        <v>77</v>
      </c>
      <c r="D21" s="171">
        <f>ROUND(+('SHEET-3'!D23/'SHEET-1'!D27)*10,2)</f>
        <v>7.05</v>
      </c>
      <c r="E21" s="192">
        <f>ROUND(+('SHEET-3'!E23/'SHEET-1'!E27)*10,2)</f>
        <v>6.7</v>
      </c>
      <c r="F21" s="192">
        <f>ROUND(+('SHEET-3'!F23/'SHEET-1'!F27)*10,2)</f>
        <v>6.81</v>
      </c>
      <c r="G21" s="192">
        <f>ROUND(+('SHEET-3'!G23/'SHEET-1'!G27)*10,2)</f>
        <v>6.55</v>
      </c>
      <c r="H21" s="172">
        <f>(D21-F21)/F21</f>
        <v>3.5242290748898709E-2</v>
      </c>
      <c r="I21" s="170">
        <f>(E21-G21)/G21</f>
        <v>2.2900763358778681E-2</v>
      </c>
    </row>
    <row r="22" spans="1:12" ht="24" customHeight="1">
      <c r="A22" s="90"/>
      <c r="B22" s="49"/>
      <c r="C22" s="49"/>
      <c r="D22" s="171"/>
      <c r="E22" s="171"/>
      <c r="F22" s="171"/>
      <c r="G22" s="171"/>
      <c r="H22" s="20"/>
      <c r="I22" s="182"/>
    </row>
    <row r="23" spans="1:12" ht="24" customHeight="1">
      <c r="A23" s="90" t="s">
        <v>64</v>
      </c>
      <c r="B23" s="49" t="s">
        <v>106</v>
      </c>
      <c r="C23" s="49"/>
      <c r="D23" s="171"/>
      <c r="E23" s="171"/>
      <c r="F23" s="171"/>
      <c r="G23" s="171"/>
      <c r="H23" s="166"/>
      <c r="I23" s="182"/>
    </row>
    <row r="24" spans="1:12" ht="24" customHeight="1">
      <c r="A24" s="90">
        <v>1</v>
      </c>
      <c r="B24" s="92" t="s">
        <v>4</v>
      </c>
      <c r="C24" s="49" t="s">
        <v>77</v>
      </c>
      <c r="D24" s="171">
        <f>ROUND(+'SHEET-5'!D32/100,2)</f>
        <v>7.95</v>
      </c>
      <c r="E24" s="192">
        <f>ROUND(+'SHEET-5'!E32/100,2)</f>
        <v>7.91</v>
      </c>
      <c r="F24" s="192">
        <f>ROUND(+'SHEET-5'!F32/100,2)</f>
        <v>7.39</v>
      </c>
      <c r="G24" s="192">
        <f>ROUND(+'SHEET-5'!G32/100,2)</f>
        <v>7.21</v>
      </c>
      <c r="H24" s="172">
        <f t="shared" ref="H24:I26" si="0">(D24-F24)/F24</f>
        <v>7.5778078484438502E-2</v>
      </c>
      <c r="I24" s="170">
        <f t="shared" si="0"/>
        <v>9.7087378640776725E-2</v>
      </c>
      <c r="K24" s="98"/>
      <c r="L24" s="98"/>
    </row>
    <row r="25" spans="1:12" ht="24" customHeight="1">
      <c r="A25" s="90">
        <v>2</v>
      </c>
      <c r="B25" s="92" t="s">
        <v>73</v>
      </c>
      <c r="C25" s="49" t="s">
        <v>77</v>
      </c>
      <c r="D25" s="171">
        <f>ROUND(+'SHEET-5'!D39/100,2)</f>
        <v>5.91</v>
      </c>
      <c r="E25" s="192">
        <f>ROUND(+'SHEET-5'!E39/100,2)</f>
        <v>5.63</v>
      </c>
      <c r="F25" s="192">
        <f>ROUND(+'SHEET-5'!F39/100,2)</f>
        <v>6.03</v>
      </c>
      <c r="G25" s="192">
        <f>ROUND(+'SHEET-5'!G39/100,2)</f>
        <v>5.83</v>
      </c>
      <c r="H25" s="172">
        <f t="shared" si="0"/>
        <v>-1.9900497512437828E-2</v>
      </c>
      <c r="I25" s="170">
        <f t="shared" si="0"/>
        <v>-3.4305317324185278E-2</v>
      </c>
      <c r="K25" s="98"/>
      <c r="L25" s="98"/>
    </row>
    <row r="26" spans="1:12" ht="24" customHeight="1">
      <c r="A26" s="99">
        <v>3</v>
      </c>
      <c r="B26" s="100" t="s">
        <v>74</v>
      </c>
      <c r="C26" s="49" t="s">
        <v>77</v>
      </c>
      <c r="D26" s="165">
        <f>ROUND(+'SHEET-5'!D40/100,2)</f>
        <v>6.6</v>
      </c>
      <c r="E26" s="191">
        <f>ROUND(+'SHEET-5'!E40/100,2)</f>
        <v>6.32</v>
      </c>
      <c r="F26" s="191">
        <f>ROUND(+'SHEET-5'!F40/100,2)</f>
        <v>6.57</v>
      </c>
      <c r="G26" s="191">
        <f>ROUND(+'SHEET-5'!G40/100,2)</f>
        <v>6.35</v>
      </c>
      <c r="H26" s="172">
        <f t="shared" si="0"/>
        <v>4.5662100456620031E-3</v>
      </c>
      <c r="I26" s="170">
        <f t="shared" si="0"/>
        <v>-4.724409448818797E-3</v>
      </c>
      <c r="K26" s="98"/>
      <c r="L26" s="98"/>
    </row>
    <row r="27" spans="1:12" ht="24" customHeight="1">
      <c r="A27" s="99"/>
      <c r="B27" s="100"/>
      <c r="C27" s="91"/>
      <c r="D27" s="165"/>
      <c r="E27" s="165"/>
      <c r="F27" s="165"/>
      <c r="G27" s="165"/>
      <c r="H27" s="53"/>
      <c r="I27" s="101"/>
    </row>
    <row r="28" spans="1:12" ht="24" customHeight="1" thickBot="1">
      <c r="A28" s="94"/>
      <c r="B28" s="95" t="s">
        <v>75</v>
      </c>
      <c r="C28" s="21"/>
      <c r="D28" s="102"/>
      <c r="E28" s="102"/>
      <c r="F28" s="102"/>
      <c r="G28" s="102"/>
      <c r="H28" s="103"/>
      <c r="I28" s="104"/>
    </row>
    <row r="30" spans="1:12" ht="15.75">
      <c r="F30" s="105"/>
      <c r="G30" s="105"/>
      <c r="H30" s="105"/>
    </row>
    <row r="35" spans="1:2" ht="12.75" customHeight="1">
      <c r="A35" s="313"/>
      <c r="B35" s="313"/>
    </row>
  </sheetData>
  <mergeCells count="11">
    <mergeCell ref="A5:I5"/>
    <mergeCell ref="A35:B35"/>
    <mergeCell ref="H12:I12"/>
    <mergeCell ref="H13:H14"/>
    <mergeCell ref="I13:I14"/>
    <mergeCell ref="D14:E14"/>
    <mergeCell ref="D12:E12"/>
    <mergeCell ref="F12:G12"/>
    <mergeCell ref="F14:G14"/>
    <mergeCell ref="A10:I10"/>
    <mergeCell ref="A8:I8"/>
  </mergeCells>
  <phoneticPr fontId="1"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2:M67"/>
  <sheetViews>
    <sheetView view="pageBreakPreview" topLeftCell="A19" zoomScale="60" zoomScaleNormal="60" workbookViewId="0">
      <selection activeCell="G23" sqref="G23"/>
    </sheetView>
  </sheetViews>
  <sheetFormatPr defaultRowHeight="12.75"/>
  <cols>
    <col min="1" max="1" width="8" style="85" customWidth="1"/>
    <col min="2" max="2" width="76.42578125" style="85" customWidth="1"/>
    <col min="3" max="3" width="22" style="85" customWidth="1"/>
    <col min="4" max="4" width="25" style="85" customWidth="1"/>
    <col min="5" max="5" width="23.5703125" style="85" customWidth="1"/>
    <col min="6" max="6" width="24.42578125" style="85" customWidth="1"/>
    <col min="7" max="7" width="23.5703125" style="85" customWidth="1"/>
    <col min="8" max="8" width="19.5703125" style="85" customWidth="1"/>
    <col min="9" max="9" width="21.28515625" style="85" customWidth="1"/>
    <col min="10" max="10" width="9.85546875" style="85" bestFit="1" customWidth="1"/>
    <col min="11" max="11" width="9.140625" style="85"/>
    <col min="12" max="13" width="15.85546875" style="85" bestFit="1" customWidth="1"/>
    <col min="14" max="16384" width="9.140625" style="85"/>
  </cols>
  <sheetData>
    <row r="2" spans="1:11" ht="30">
      <c r="I2" s="106" t="s">
        <v>43</v>
      </c>
    </row>
    <row r="5" spans="1:11" ht="30">
      <c r="A5" s="327" t="s">
        <v>0</v>
      </c>
      <c r="B5" s="327"/>
      <c r="C5" s="327"/>
      <c r="D5" s="327"/>
      <c r="E5" s="327"/>
      <c r="F5" s="327"/>
      <c r="G5" s="327"/>
      <c r="H5" s="327"/>
      <c r="I5" s="327"/>
    </row>
    <row r="6" spans="1:11" ht="18" customHeight="1">
      <c r="A6" s="87"/>
      <c r="B6" s="87"/>
      <c r="C6" s="87"/>
      <c r="D6" s="87"/>
      <c r="E6" s="87"/>
    </row>
    <row r="8" spans="1:11" ht="27.75">
      <c r="A8" s="328" t="s">
        <v>42</v>
      </c>
      <c r="B8" s="328"/>
      <c r="C8" s="328"/>
      <c r="D8" s="328"/>
      <c r="E8" s="328"/>
      <c r="F8" s="328"/>
      <c r="G8" s="328"/>
      <c r="H8" s="328"/>
      <c r="I8" s="328"/>
    </row>
    <row r="10" spans="1:11" ht="27.75">
      <c r="A10" s="328" t="s">
        <v>41</v>
      </c>
      <c r="B10" s="328"/>
      <c r="C10" s="328"/>
      <c r="D10" s="328"/>
      <c r="E10" s="328"/>
      <c r="F10" s="328"/>
      <c r="G10" s="328"/>
      <c r="H10" s="328"/>
      <c r="I10" s="328"/>
    </row>
    <row r="11" spans="1:11" ht="13.5" thickBot="1"/>
    <row r="12" spans="1:11" ht="21.6" customHeight="1">
      <c r="A12" s="88"/>
      <c r="B12" s="89"/>
      <c r="C12" s="89"/>
      <c r="D12" s="311" t="s">
        <v>105</v>
      </c>
      <c r="E12" s="311"/>
      <c r="F12" s="311" t="s">
        <v>66</v>
      </c>
      <c r="G12" s="311"/>
      <c r="H12" s="311" t="s">
        <v>17</v>
      </c>
      <c r="I12" s="312"/>
    </row>
    <row r="13" spans="1:11" ht="21.6" customHeight="1">
      <c r="A13" s="90"/>
      <c r="B13" s="49"/>
      <c r="C13" s="49"/>
      <c r="D13" s="49" t="s">
        <v>14</v>
      </c>
      <c r="E13" s="49" t="s">
        <v>15</v>
      </c>
      <c r="F13" s="49" t="s">
        <v>14</v>
      </c>
      <c r="G13" s="49" t="s">
        <v>15</v>
      </c>
      <c r="H13" s="310" t="s">
        <v>14</v>
      </c>
      <c r="I13" s="305" t="s">
        <v>15</v>
      </c>
    </row>
    <row r="14" spans="1:11" ht="33" customHeight="1">
      <c r="A14" s="90"/>
      <c r="B14" s="49"/>
      <c r="C14" s="49"/>
      <c r="D14" s="310" t="str">
        <f>+'SHEET-2'!D14:E14</f>
        <v>July-2020 to Sept-2020</v>
      </c>
      <c r="E14" s="310"/>
      <c r="F14" s="310" t="str">
        <f>+'SHEET-2'!F14:G14</f>
        <v>July-2019 to Sept-2019</v>
      </c>
      <c r="G14" s="310"/>
      <c r="H14" s="316"/>
      <c r="I14" s="305"/>
    </row>
    <row r="15" spans="1:11" ht="24" customHeight="1">
      <c r="A15" s="90">
        <v>1</v>
      </c>
      <c r="B15" s="92" t="s">
        <v>125</v>
      </c>
      <c r="C15" s="49" t="s">
        <v>13</v>
      </c>
      <c r="D15" s="171">
        <f>+E15-1356.87</f>
        <v>1340.0900000000001</v>
      </c>
      <c r="E15" s="171">
        <v>2696.96</v>
      </c>
      <c r="F15" s="203">
        <f>+G15-1627.9</f>
        <v>1385.48</v>
      </c>
      <c r="G15" s="203">
        <v>3013.38</v>
      </c>
      <c r="H15" s="172">
        <f t="shared" ref="H15:I21" si="0">(D15-F15)/F15</f>
        <v>-3.2761209111643527E-2</v>
      </c>
      <c r="I15" s="179">
        <f t="shared" si="0"/>
        <v>-0.10500501098434319</v>
      </c>
      <c r="J15" s="204"/>
      <c r="K15" s="215"/>
    </row>
    <row r="16" spans="1:11" ht="24" customHeight="1">
      <c r="A16" s="90">
        <v>2</v>
      </c>
      <c r="B16" s="92" t="s">
        <v>25</v>
      </c>
      <c r="C16" s="49" t="s">
        <v>13</v>
      </c>
      <c r="D16" s="171">
        <f>+E16-121.9</f>
        <v>142.82000000000002</v>
      </c>
      <c r="E16" s="171">
        <f>+'SHEET-7'!C23</f>
        <v>264.72000000000003</v>
      </c>
      <c r="F16" s="203">
        <f>+G16-111.67-5.5</f>
        <v>137.61000000000001</v>
      </c>
      <c r="G16" s="206">
        <f>+'SHEET-7'!D23</f>
        <v>254.78</v>
      </c>
      <c r="H16" s="172">
        <f t="shared" si="0"/>
        <v>3.7860620594433597E-2</v>
      </c>
      <c r="I16" s="179">
        <f t="shared" si="0"/>
        <v>3.9014051338409711E-2</v>
      </c>
      <c r="J16" s="204"/>
    </row>
    <row r="17" spans="1:13" ht="24" customHeight="1">
      <c r="A17" s="90">
        <v>3</v>
      </c>
      <c r="B17" s="92" t="s">
        <v>26</v>
      </c>
      <c r="C17" s="49" t="s">
        <v>13</v>
      </c>
      <c r="D17" s="171">
        <f>+E17-16.4</f>
        <v>16.39</v>
      </c>
      <c r="E17" s="171">
        <f>+'SHEET-7'!C29</f>
        <v>32.79</v>
      </c>
      <c r="F17" s="203">
        <f>+G17-15.1</f>
        <v>16.11</v>
      </c>
      <c r="G17" s="206">
        <f>+'SHEET-7'!D29</f>
        <v>31.21</v>
      </c>
      <c r="H17" s="172">
        <f t="shared" si="0"/>
        <v>1.7380509000620804E-2</v>
      </c>
      <c r="I17" s="179">
        <f t="shared" si="0"/>
        <v>5.0624799743671844E-2</v>
      </c>
      <c r="J17" s="204"/>
    </row>
    <row r="18" spans="1:13" ht="24" customHeight="1">
      <c r="A18" s="90">
        <v>4</v>
      </c>
      <c r="B18" s="92" t="s">
        <v>27</v>
      </c>
      <c r="C18" s="49" t="s">
        <v>13</v>
      </c>
      <c r="D18" s="171">
        <f>+E18-15.89</f>
        <v>16.497500000000002</v>
      </c>
      <c r="E18" s="171">
        <f>+'SHEET-7'!C24</f>
        <v>32.387500000000003</v>
      </c>
      <c r="F18" s="203">
        <f>+G18-15.35</f>
        <v>15.912000000000001</v>
      </c>
      <c r="G18" s="206">
        <f>+'SHEET-7'!D24</f>
        <v>31.262</v>
      </c>
      <c r="H18" s="172">
        <f t="shared" si="0"/>
        <v>3.6796128707893505E-2</v>
      </c>
      <c r="I18" s="179">
        <f>(E18-G18)/G18</f>
        <v>3.6002175164736819E-2</v>
      </c>
      <c r="J18" s="204"/>
      <c r="L18" s="107"/>
      <c r="M18" s="107"/>
    </row>
    <row r="19" spans="1:13" ht="24" customHeight="1">
      <c r="A19" s="90">
        <v>5</v>
      </c>
      <c r="B19" s="92" t="s">
        <v>28</v>
      </c>
      <c r="C19" s="49" t="s">
        <v>13</v>
      </c>
      <c r="D19" s="171">
        <f>+E19-70.35</f>
        <v>70.349999999999994</v>
      </c>
      <c r="E19" s="171">
        <f>+'SHEET-7'!C28</f>
        <v>140.69999999999999</v>
      </c>
      <c r="F19" s="203">
        <f>+G19-64.36</f>
        <v>69.36</v>
      </c>
      <c r="G19" s="206">
        <f>+'SHEET-7'!D28</f>
        <v>133.72</v>
      </c>
      <c r="H19" s="172">
        <f t="shared" si="0"/>
        <v>1.4273356401384009E-2</v>
      </c>
      <c r="I19" s="179">
        <f>(E19-G19)/G19</f>
        <v>5.2198623990427684E-2</v>
      </c>
      <c r="J19" s="204"/>
      <c r="L19" s="108"/>
      <c r="M19" s="108"/>
    </row>
    <row r="20" spans="1:13" ht="24" customHeight="1">
      <c r="A20" s="90">
        <v>6</v>
      </c>
      <c r="B20" s="92" t="s">
        <v>29</v>
      </c>
      <c r="C20" s="49" t="s">
        <v>13</v>
      </c>
      <c r="D20" s="171">
        <f>+E20-18.54</f>
        <v>21.985500000000002</v>
      </c>
      <c r="E20" s="171">
        <f>+'SHEET-7'!C25</f>
        <v>40.525500000000001</v>
      </c>
      <c r="F20" s="203">
        <f>+G20-17.53</f>
        <v>21.847200000000001</v>
      </c>
      <c r="G20" s="206">
        <f>+'SHEET-7'!D25</f>
        <v>39.377200000000002</v>
      </c>
      <c r="H20" s="180">
        <f t="shared" si="0"/>
        <v>6.3303306602219495E-3</v>
      </c>
      <c r="I20" s="181">
        <f>(E20-G20)/G20</f>
        <v>2.9161545259693399E-2</v>
      </c>
      <c r="J20" s="204"/>
      <c r="L20" s="108"/>
      <c r="M20" s="108"/>
    </row>
    <row r="21" spans="1:13" ht="24" customHeight="1">
      <c r="A21" s="90" t="s">
        <v>116</v>
      </c>
      <c r="B21" s="92" t="s">
        <v>117</v>
      </c>
      <c r="C21" s="49" t="s">
        <v>13</v>
      </c>
      <c r="D21" s="203">
        <f>+E21+16.5</f>
        <v>-9.5799999999999983</v>
      </c>
      <c r="E21" s="171">
        <f>+'SHEET-7'!C32</f>
        <v>-26.08</v>
      </c>
      <c r="F21" s="203">
        <f>+G21+15</f>
        <v>-10</v>
      </c>
      <c r="G21" s="206">
        <f>+'SHEET-7'!D32</f>
        <v>-25</v>
      </c>
      <c r="H21" s="199">
        <f t="shared" si="0"/>
        <v>-4.2000000000000169E-2</v>
      </c>
      <c r="I21" s="199">
        <f t="shared" si="0"/>
        <v>4.3199999999999933E-2</v>
      </c>
      <c r="J21" s="204"/>
      <c r="L21" s="108"/>
      <c r="M21" s="108"/>
    </row>
    <row r="22" spans="1:13" ht="24" customHeight="1">
      <c r="A22" s="90">
        <v>7</v>
      </c>
      <c r="B22" s="92" t="s">
        <v>124</v>
      </c>
      <c r="C22" s="49" t="s">
        <v>13</v>
      </c>
      <c r="D22" s="171">
        <f>+E22-3.77</f>
        <v>41.26</v>
      </c>
      <c r="E22" s="171">
        <f>+'SHEET-7'!C26</f>
        <v>45.03</v>
      </c>
      <c r="F22" s="203">
        <f>+G22-2.56</f>
        <v>39.549999999999997</v>
      </c>
      <c r="G22" s="206">
        <f>+'SHEET-7'!D26</f>
        <v>42.11</v>
      </c>
      <c r="H22" s="220">
        <f t="shared" ref="H22" si="1">(D22-F22)/F22</f>
        <v>4.3236409608091046E-2</v>
      </c>
      <c r="I22" s="220">
        <f t="shared" ref="I22" si="2">(E22-G22)/G22</f>
        <v>6.9342199002612251E-2</v>
      </c>
      <c r="J22" s="204"/>
      <c r="L22" s="108"/>
      <c r="M22" s="108"/>
    </row>
    <row r="23" spans="1:13" ht="24" customHeight="1">
      <c r="A23" s="90">
        <v>8</v>
      </c>
      <c r="B23" s="92" t="s">
        <v>30</v>
      </c>
      <c r="C23" s="49" t="s">
        <v>13</v>
      </c>
      <c r="D23" s="22">
        <f>+SUM(D15:D22)</f>
        <v>1639.8130000000001</v>
      </c>
      <c r="E23" s="22">
        <f>+SUM(E15:E22)</f>
        <v>3227.0330000000004</v>
      </c>
      <c r="F23" s="206">
        <f>+SUM(F15:F22)</f>
        <v>1675.8691999999999</v>
      </c>
      <c r="G23" s="206">
        <f>+SUM(G15:G22)</f>
        <v>3520.8392000000003</v>
      </c>
      <c r="H23" s="172">
        <f t="shared" ref="H23:I32" si="3">(D23-F23)/F23</f>
        <v>-2.1514924911800851E-2</v>
      </c>
      <c r="I23" s="179">
        <f t="shared" si="3"/>
        <v>-8.3447775746191402E-2</v>
      </c>
      <c r="J23" s="97"/>
    </row>
    <row r="24" spans="1:13" ht="24" customHeight="1">
      <c r="A24" s="90"/>
      <c r="B24" s="242" t="s">
        <v>235</v>
      </c>
      <c r="C24" s="228"/>
      <c r="D24" s="22"/>
      <c r="E24" s="22"/>
      <c r="F24" s="229"/>
      <c r="G24" s="229"/>
      <c r="H24" s="230"/>
      <c r="I24" s="179"/>
      <c r="J24" s="97"/>
    </row>
    <row r="25" spans="1:13" ht="24" customHeight="1">
      <c r="A25" s="90">
        <v>9</v>
      </c>
      <c r="B25" s="92" t="s">
        <v>87</v>
      </c>
      <c r="C25" s="228" t="s">
        <v>13</v>
      </c>
      <c r="D25" s="203">
        <f>+E25-38.01</f>
        <v>39.539906449999997</v>
      </c>
      <c r="E25" s="203">
        <f>+'SHEET-7'!C14</f>
        <v>77.549906449999995</v>
      </c>
      <c r="F25" s="203">
        <f>+G25-37.45</f>
        <v>34.881203429395001</v>
      </c>
      <c r="G25" s="229">
        <f>+'SHEET-7'!D14</f>
        <v>72.331203429395003</v>
      </c>
      <c r="H25" s="230">
        <f t="shared" ref="H25" si="4">(D25-F25)/F25</f>
        <v>0.13355912533336006</v>
      </c>
      <c r="I25" s="179">
        <f t="shared" ref="I25" si="5">(E25-G25)/G25</f>
        <v>7.2150092535086169E-2</v>
      </c>
    </row>
    <row r="26" spans="1:13" ht="24" customHeight="1">
      <c r="A26" s="90">
        <v>10</v>
      </c>
      <c r="B26" s="92" t="s">
        <v>107</v>
      </c>
      <c r="C26" s="49" t="s">
        <v>13</v>
      </c>
      <c r="D26" s="171">
        <f>+E26-1497.34</f>
        <v>1551.0308555575</v>
      </c>
      <c r="E26" s="171">
        <f>+'SHEET-7'!C11</f>
        <v>3048.3708555574999</v>
      </c>
      <c r="F26" s="203">
        <f>+G26-1777.12</f>
        <v>1642.0660512863601</v>
      </c>
      <c r="G26" s="206">
        <f>+'SHEET-7'!D11</f>
        <v>3419.18605128636</v>
      </c>
      <c r="H26" s="172">
        <f t="shared" ref="H26:I28" si="6">(D26-F26)/F26</f>
        <v>-5.5439423802437819E-2</v>
      </c>
      <c r="I26" s="170">
        <f t="shared" si="6"/>
        <v>-0.10845130688028885</v>
      </c>
    </row>
    <row r="27" spans="1:13" ht="24" customHeight="1">
      <c r="A27" s="90">
        <v>11</v>
      </c>
      <c r="B27" s="92" t="s">
        <v>33</v>
      </c>
      <c r="C27" s="49" t="s">
        <v>13</v>
      </c>
      <c r="D27" s="171">
        <f>+E27-15.64</f>
        <v>15.648600000000002</v>
      </c>
      <c r="E27" s="171">
        <f>+'SHEET-7'!C13</f>
        <v>31.288600000000002</v>
      </c>
      <c r="F27" s="203">
        <f>+G27-15.65</f>
        <v>15.639999999999999</v>
      </c>
      <c r="G27" s="206">
        <f>+'SHEET-7'!D13</f>
        <v>31.29</v>
      </c>
      <c r="H27" s="172">
        <f t="shared" si="6"/>
        <v>5.4987212276234334E-4</v>
      </c>
      <c r="I27" s="170">
        <f t="shared" si="6"/>
        <v>-4.4742729306383418E-5</v>
      </c>
    </row>
    <row r="28" spans="1:13" ht="24" customHeight="1">
      <c r="A28" s="90">
        <v>12</v>
      </c>
      <c r="B28" s="92" t="s">
        <v>224</v>
      </c>
      <c r="C28" s="49" t="s">
        <v>13</v>
      </c>
      <c r="D28" s="171">
        <f>+E28-31</f>
        <v>25.705775000000003</v>
      </c>
      <c r="E28" s="171">
        <f>+'SHEET-7'!C12</f>
        <v>56.705775000000003</v>
      </c>
      <c r="F28" s="203">
        <f>+G28-32</f>
        <v>27.299999999999997</v>
      </c>
      <c r="G28" s="206">
        <f>+'SHEET-7'!D12</f>
        <v>59.3</v>
      </c>
      <c r="H28" s="172">
        <f t="shared" si="6"/>
        <v>-5.8396520146519949E-2</v>
      </c>
      <c r="I28" s="170">
        <f t="shared" si="6"/>
        <v>-4.3747470489038695E-2</v>
      </c>
    </row>
    <row r="29" spans="1:13" ht="24" customHeight="1">
      <c r="A29" s="90">
        <v>13</v>
      </c>
      <c r="B29" s="92" t="s">
        <v>236</v>
      </c>
      <c r="C29" s="228" t="s">
        <v>13</v>
      </c>
      <c r="D29" s="203">
        <f>+SUM(D25:D28)</f>
        <v>1631.9251370074999</v>
      </c>
      <c r="E29" s="203">
        <f t="shared" ref="E29:G29" si="7">+SUM(E25:E28)</f>
        <v>3213.9151370074997</v>
      </c>
      <c r="F29" s="203">
        <f t="shared" si="7"/>
        <v>1719.8872547157553</v>
      </c>
      <c r="G29" s="203">
        <f t="shared" si="7"/>
        <v>3582.1072547157551</v>
      </c>
      <c r="H29" s="230">
        <f t="shared" ref="H29" si="8">(D29-F29)/F29</f>
        <v>-5.1144118585141118E-2</v>
      </c>
      <c r="I29" s="231">
        <f t="shared" ref="I29" si="9">(E29-G29)/G29</f>
        <v>-0.10278645822889297</v>
      </c>
    </row>
    <row r="30" spans="1:13" ht="24" customHeight="1">
      <c r="A30" s="90">
        <v>14</v>
      </c>
      <c r="B30" s="92" t="s">
        <v>118</v>
      </c>
      <c r="C30" s="49" t="s">
        <v>34</v>
      </c>
      <c r="D30" s="172">
        <f>D15/D23</f>
        <v>0.81722123193315344</v>
      </c>
      <c r="E30" s="172">
        <f>E15/E23</f>
        <v>0.83573982664571445</v>
      </c>
      <c r="F30" s="202">
        <f>F15/F23</f>
        <v>0.82672323114476964</v>
      </c>
      <c r="G30" s="202">
        <f>G15/G23</f>
        <v>0.85586981649147731</v>
      </c>
      <c r="H30" s="172">
        <f>D30-F30</f>
        <v>-9.5019992116162078E-3</v>
      </c>
      <c r="I30" s="172">
        <f>E30-G30</f>
        <v>-2.0129989845762863E-2</v>
      </c>
    </row>
    <row r="31" spans="1:13" ht="24" customHeight="1">
      <c r="A31" s="90"/>
      <c r="B31" s="92"/>
      <c r="C31" s="228"/>
      <c r="D31" s="230"/>
      <c r="E31" s="230"/>
      <c r="F31" s="230"/>
      <c r="G31" s="230"/>
      <c r="H31" s="230"/>
      <c r="I31" s="241"/>
    </row>
    <row r="32" spans="1:13" ht="24" customHeight="1">
      <c r="A32" s="90">
        <v>15</v>
      </c>
      <c r="B32" s="92" t="s">
        <v>31</v>
      </c>
      <c r="C32" s="49" t="s">
        <v>13</v>
      </c>
      <c r="D32" s="171">
        <f>+E32-30.21</f>
        <v>33.7149</v>
      </c>
      <c r="E32" s="171">
        <v>63.924900000000001</v>
      </c>
      <c r="F32" s="203">
        <f>+G32-41.82</f>
        <v>35.929099999999998</v>
      </c>
      <c r="G32" s="203">
        <v>77.749099999999999</v>
      </c>
      <c r="H32" s="172">
        <f t="shared" si="3"/>
        <v>-6.1626926363309915E-2</v>
      </c>
      <c r="I32" s="179">
        <f t="shared" si="3"/>
        <v>-0.17780527363017704</v>
      </c>
    </row>
    <row r="33" spans="1:9" ht="24" customHeight="1">
      <c r="A33" s="90">
        <v>16</v>
      </c>
      <c r="B33" s="92" t="s">
        <v>32</v>
      </c>
      <c r="C33" s="49" t="s">
        <v>13</v>
      </c>
      <c r="D33" s="171">
        <v>0</v>
      </c>
      <c r="E33" s="171">
        <f>+D33</f>
        <v>0</v>
      </c>
      <c r="F33" s="203">
        <v>0</v>
      </c>
      <c r="G33" s="206">
        <v>0</v>
      </c>
      <c r="H33" s="220">
        <v>0</v>
      </c>
      <c r="I33" s="179">
        <v>0</v>
      </c>
    </row>
    <row r="34" spans="1:9" ht="24" customHeight="1">
      <c r="A34" s="90">
        <v>17</v>
      </c>
      <c r="B34" s="92" t="s">
        <v>229</v>
      </c>
      <c r="C34" s="49" t="s">
        <v>13</v>
      </c>
      <c r="D34" s="169">
        <v>0</v>
      </c>
      <c r="E34" s="169">
        <f>+D34</f>
        <v>0</v>
      </c>
      <c r="F34" s="206">
        <f>+G34-0.02</f>
        <v>0.02</v>
      </c>
      <c r="G34" s="206">
        <v>0.04</v>
      </c>
      <c r="H34" s="220">
        <v>0</v>
      </c>
      <c r="I34" s="179">
        <v>0</v>
      </c>
    </row>
    <row r="42" spans="1:9" ht="12.75" customHeight="1">
      <c r="A42" s="313"/>
      <c r="B42" s="313"/>
    </row>
    <row r="57" spans="4:8" ht="23.25">
      <c r="D57" s="109">
        <f>3+0.58+0.94</f>
        <v>4.5199999999999996</v>
      </c>
      <c r="E57" s="109">
        <v>30066980.798</v>
      </c>
      <c r="F57" s="85">
        <v>5786401.75</v>
      </c>
      <c r="G57" s="110">
        <v>9381444.3800000008</v>
      </c>
      <c r="H57" s="85">
        <v>87524122.379999995</v>
      </c>
    </row>
    <row r="58" spans="4:8" ht="23.25">
      <c r="D58" s="111"/>
      <c r="E58" s="111">
        <f>E57/10^7</f>
        <v>3.0066980798</v>
      </c>
      <c r="F58" s="111">
        <f t="shared" ref="F58:H58" si="10">F57/10^7</f>
        <v>0.57864017499999998</v>
      </c>
      <c r="G58" s="111">
        <f t="shared" si="10"/>
        <v>0.93814443800000014</v>
      </c>
      <c r="H58" s="111">
        <f t="shared" si="10"/>
        <v>8.7524122379999998</v>
      </c>
    </row>
    <row r="59" spans="4:8" ht="23.25">
      <c r="D59" s="111"/>
      <c r="E59" s="111"/>
    </row>
    <row r="60" spans="4:8" ht="23.25">
      <c r="D60" s="111"/>
      <c r="E60" s="111"/>
    </row>
    <row r="61" spans="4:8" ht="23.25">
      <c r="D61" s="111"/>
      <c r="E61" s="111"/>
    </row>
    <row r="62" spans="4:8" ht="23.25">
      <c r="D62" s="111"/>
      <c r="E62" s="111"/>
    </row>
    <row r="63" spans="4:8" ht="23.25">
      <c r="D63" s="111"/>
      <c r="E63" s="111"/>
    </row>
    <row r="64" spans="4:8" ht="23.25">
      <c r="D64" s="111"/>
      <c r="E64" s="111"/>
    </row>
    <row r="66" spans="4:4" ht="23.25">
      <c r="D66" s="111">
        <v>0.64</v>
      </c>
    </row>
    <row r="67" spans="4:4" ht="23.25">
      <c r="D67" s="111">
        <f>SUM(D64:D66)</f>
        <v>0.64</v>
      </c>
    </row>
  </sheetData>
  <mergeCells count="11">
    <mergeCell ref="F14:G14"/>
    <mergeCell ref="A5:I5"/>
    <mergeCell ref="A8:I8"/>
    <mergeCell ref="A10:I10"/>
    <mergeCell ref="A42:B42"/>
    <mergeCell ref="H12:I12"/>
    <mergeCell ref="H13:H14"/>
    <mergeCell ref="I13:I14"/>
    <mergeCell ref="D14:E14"/>
    <mergeCell ref="D12:E12"/>
    <mergeCell ref="F12:G12"/>
  </mergeCells>
  <phoneticPr fontId="1" type="noConversion"/>
  <printOptions horizontalCentered="1" verticalCentered="1"/>
  <pageMargins left="0.25" right="0.25" top="1" bottom="0.25" header="0.5" footer="0.5"/>
  <pageSetup paperSize="9" scale="5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C000"/>
  </sheetPr>
  <dimension ref="A2:N68"/>
  <sheetViews>
    <sheetView view="pageBreakPreview" topLeftCell="A25" zoomScale="60" zoomScaleNormal="60" workbookViewId="0">
      <selection activeCell="D30" sqref="D30"/>
    </sheetView>
  </sheetViews>
  <sheetFormatPr defaultRowHeight="12.75"/>
  <cols>
    <col min="1" max="1" width="8" style="58" customWidth="1"/>
    <col min="2" max="2" width="77.5703125" style="58" customWidth="1"/>
    <col min="3" max="3" width="17" style="58" customWidth="1"/>
    <col min="4" max="4" width="24.42578125" style="58" customWidth="1"/>
    <col min="5" max="5" width="25.5703125" style="58" customWidth="1"/>
    <col min="6" max="6" width="23.85546875" style="58" customWidth="1"/>
    <col min="7" max="7" width="25.85546875" style="58" customWidth="1"/>
    <col min="8" max="8" width="19.42578125" style="58" customWidth="1"/>
    <col min="9" max="9" width="20.42578125" style="58" customWidth="1"/>
    <col min="10" max="12" width="9.140625" style="58"/>
    <col min="13" max="13" width="15.85546875" style="58" bestFit="1" customWidth="1"/>
    <col min="14" max="14" width="24.7109375" style="58" bestFit="1" customWidth="1"/>
    <col min="15" max="16384" width="9.140625" style="58"/>
  </cols>
  <sheetData>
    <row r="2" spans="1:9" ht="33">
      <c r="I2" s="59" t="s">
        <v>225</v>
      </c>
    </row>
    <row r="5" spans="1:9" ht="30">
      <c r="A5" s="335" t="s">
        <v>0</v>
      </c>
      <c r="B5" s="335"/>
      <c r="C5" s="335"/>
      <c r="D5" s="335"/>
      <c r="E5" s="335"/>
      <c r="F5" s="335"/>
      <c r="G5" s="335"/>
      <c r="H5" s="335"/>
      <c r="I5" s="335"/>
    </row>
    <row r="7" spans="1:9" ht="27.75">
      <c r="A7" s="342" t="s">
        <v>20</v>
      </c>
      <c r="B7" s="342"/>
      <c r="C7" s="342"/>
      <c r="D7" s="342"/>
      <c r="E7" s="342"/>
      <c r="F7" s="342"/>
      <c r="G7" s="342"/>
      <c r="H7" s="342"/>
      <c r="I7" s="342"/>
    </row>
    <row r="9" spans="1:9" ht="27.75">
      <c r="A9" s="342" t="s">
        <v>24</v>
      </c>
      <c r="B9" s="342"/>
      <c r="C9" s="342"/>
      <c r="D9" s="342"/>
      <c r="E9" s="342"/>
      <c r="F9" s="342"/>
      <c r="G9" s="342"/>
      <c r="H9" s="342"/>
      <c r="I9" s="342"/>
    </row>
    <row r="10" spans="1:9" ht="13.5" thickBot="1"/>
    <row r="11" spans="1:9" ht="21.6" customHeight="1">
      <c r="A11" s="60"/>
      <c r="B11" s="61"/>
      <c r="C11" s="61"/>
      <c r="D11" s="329" t="s">
        <v>16</v>
      </c>
      <c r="E11" s="329"/>
      <c r="F11" s="329" t="s">
        <v>66</v>
      </c>
      <c r="G11" s="329"/>
      <c r="H11" s="329" t="s">
        <v>17</v>
      </c>
      <c r="I11" s="330"/>
    </row>
    <row r="12" spans="1:9" ht="21.6" customHeight="1">
      <c r="A12" s="62"/>
      <c r="B12" s="54"/>
      <c r="C12" s="54"/>
      <c r="D12" s="54" t="s">
        <v>14</v>
      </c>
      <c r="E12" s="54" t="s">
        <v>15</v>
      </c>
      <c r="F12" s="54" t="s">
        <v>14</v>
      </c>
      <c r="G12" s="54" t="s">
        <v>15</v>
      </c>
      <c r="H12" s="331" t="s">
        <v>14</v>
      </c>
      <c r="I12" s="332" t="s">
        <v>15</v>
      </c>
    </row>
    <row r="13" spans="1:9" ht="21.6" customHeight="1">
      <c r="A13" s="62" t="s">
        <v>38</v>
      </c>
      <c r="B13" s="54" t="s">
        <v>100</v>
      </c>
      <c r="C13" s="54"/>
      <c r="D13" s="310" t="str">
        <f>+'SHEET-3'!D14:E14</f>
        <v>July-2020 to Sept-2020</v>
      </c>
      <c r="E13" s="310"/>
      <c r="F13" s="310" t="str">
        <f>+'SHEET-3'!F14:G14</f>
        <v>July-2019 to Sept-2019</v>
      </c>
      <c r="G13" s="310"/>
      <c r="H13" s="331"/>
      <c r="I13" s="332"/>
    </row>
    <row r="14" spans="1:9" ht="21.6" customHeight="1">
      <c r="A14" s="64">
        <v>1</v>
      </c>
      <c r="B14" s="65" t="s">
        <v>4</v>
      </c>
      <c r="C14" s="66" t="s">
        <v>81</v>
      </c>
      <c r="D14" s="240">
        <f>2313+78</f>
        <v>2391</v>
      </c>
      <c r="E14" s="240">
        <f>D14</f>
        <v>2391</v>
      </c>
      <c r="F14" s="240">
        <v>2274</v>
      </c>
      <c r="G14" s="240">
        <v>2274</v>
      </c>
      <c r="H14" s="157">
        <f>(D14-F14)/F14</f>
        <v>5.1451187335092345E-2</v>
      </c>
      <c r="I14" s="158">
        <f>(E14-G14)/G14</f>
        <v>5.1451187335092345E-2</v>
      </c>
    </row>
    <row r="15" spans="1:9" ht="21.6" customHeight="1">
      <c r="A15" s="64">
        <v>2</v>
      </c>
      <c r="B15" s="65" t="s">
        <v>101</v>
      </c>
      <c r="C15" s="66" t="s">
        <v>81</v>
      </c>
      <c r="D15" s="240">
        <v>0</v>
      </c>
      <c r="E15" s="240">
        <f t="shared" ref="E15:E16" si="0">D15</f>
        <v>0</v>
      </c>
      <c r="F15" s="240">
        <v>0</v>
      </c>
      <c r="G15" s="240">
        <v>0</v>
      </c>
      <c r="H15" s="194" t="e">
        <f t="shared" ref="H15:H25" si="1">(D15-F15)/F15</f>
        <v>#DIV/0!</v>
      </c>
      <c r="I15" s="195" t="e">
        <f t="shared" ref="I15:I25" si="2">(E15-G15)/G15</f>
        <v>#DIV/0!</v>
      </c>
    </row>
    <row r="16" spans="1:9" ht="21.6" customHeight="1">
      <c r="A16" s="64">
        <v>3</v>
      </c>
      <c r="B16" s="65" t="s">
        <v>7</v>
      </c>
      <c r="C16" s="66" t="s">
        <v>81</v>
      </c>
      <c r="D16" s="240">
        <v>0</v>
      </c>
      <c r="E16" s="240">
        <f t="shared" si="0"/>
        <v>0</v>
      </c>
      <c r="F16" s="240">
        <v>0</v>
      </c>
      <c r="G16" s="240">
        <v>0</v>
      </c>
      <c r="H16" s="157">
        <v>0</v>
      </c>
      <c r="I16" s="158">
        <v>0</v>
      </c>
    </row>
    <row r="17" spans="1:14" ht="24" customHeight="1">
      <c r="A17" s="64">
        <v>4</v>
      </c>
      <c r="B17" s="65" t="s">
        <v>8</v>
      </c>
      <c r="C17" s="66" t="s">
        <v>81</v>
      </c>
      <c r="D17" s="240">
        <f>SUM(D14:D16)</f>
        <v>2391</v>
      </c>
      <c r="E17" s="240">
        <f>SUM(E14:E16)</f>
        <v>2391</v>
      </c>
      <c r="F17" s="240">
        <v>2274</v>
      </c>
      <c r="G17" s="240">
        <v>2274</v>
      </c>
      <c r="H17" s="157">
        <f t="shared" si="1"/>
        <v>5.1451187335092345E-2</v>
      </c>
      <c r="I17" s="158">
        <f t="shared" si="2"/>
        <v>5.1451187335092345E-2</v>
      </c>
    </row>
    <row r="18" spans="1:14" ht="21.6" customHeight="1">
      <c r="A18" s="64">
        <v>5</v>
      </c>
      <c r="B18" s="65" t="s">
        <v>2</v>
      </c>
      <c r="C18" s="66" t="s">
        <v>81</v>
      </c>
      <c r="D18" s="240">
        <v>2719516</v>
      </c>
      <c r="E18" s="240">
        <f>D18</f>
        <v>2719516</v>
      </c>
      <c r="F18" s="240">
        <v>2667011</v>
      </c>
      <c r="G18" s="240">
        <v>2667011</v>
      </c>
      <c r="H18" s="157">
        <f t="shared" si="1"/>
        <v>1.9686832937696921E-2</v>
      </c>
      <c r="I18" s="158">
        <f t="shared" si="2"/>
        <v>1.9686832937696921E-2</v>
      </c>
    </row>
    <row r="19" spans="1:14" ht="21.6" customHeight="1">
      <c r="A19" s="64">
        <v>6</v>
      </c>
      <c r="B19" s="65" t="s">
        <v>3</v>
      </c>
      <c r="C19" s="66" t="s">
        <v>81</v>
      </c>
      <c r="D19" s="333">
        <v>370049</v>
      </c>
      <c r="E19" s="333">
        <f>D19</f>
        <v>370049</v>
      </c>
      <c r="F19" s="333">
        <v>350056</v>
      </c>
      <c r="G19" s="333">
        <v>350056</v>
      </c>
      <c r="H19" s="343">
        <f t="shared" si="1"/>
        <v>5.7113718947825493E-2</v>
      </c>
      <c r="I19" s="336">
        <f t="shared" si="2"/>
        <v>5.7113718947825493E-2</v>
      </c>
      <c r="M19" s="67"/>
      <c r="N19" s="68"/>
    </row>
    <row r="20" spans="1:14" ht="21.6" customHeight="1">
      <c r="A20" s="64">
        <v>7</v>
      </c>
      <c r="B20" s="65" t="s">
        <v>1</v>
      </c>
      <c r="C20" s="66" t="s">
        <v>81</v>
      </c>
      <c r="D20" s="334"/>
      <c r="E20" s="334"/>
      <c r="F20" s="334"/>
      <c r="G20" s="334"/>
      <c r="H20" s="344"/>
      <c r="I20" s="337"/>
      <c r="M20" s="67"/>
      <c r="N20" s="68"/>
    </row>
    <row r="21" spans="1:14" ht="21.6" customHeight="1">
      <c r="A21" s="64">
        <v>8</v>
      </c>
      <c r="B21" s="65" t="s">
        <v>119</v>
      </c>
      <c r="C21" s="66" t="s">
        <v>81</v>
      </c>
      <c r="D21" s="240">
        <v>24538</v>
      </c>
      <c r="E21" s="240">
        <f>D21</f>
        <v>24538</v>
      </c>
      <c r="F21" s="240">
        <v>31445</v>
      </c>
      <c r="G21" s="240">
        <v>31445</v>
      </c>
      <c r="H21" s="157">
        <f t="shared" si="1"/>
        <v>-0.21965336301478772</v>
      </c>
      <c r="I21" s="158">
        <f t="shared" si="2"/>
        <v>-0.21965336301478772</v>
      </c>
      <c r="M21" s="67"/>
      <c r="N21" s="68"/>
    </row>
    <row r="22" spans="1:14" ht="24" customHeight="1">
      <c r="A22" s="64">
        <v>9</v>
      </c>
      <c r="B22" s="65" t="s">
        <v>10</v>
      </c>
      <c r="C22" s="66" t="s">
        <v>81</v>
      </c>
      <c r="D22" s="240">
        <f>+SUM(D18:D21)</f>
        <v>3114103</v>
      </c>
      <c r="E22" s="240">
        <f t="shared" ref="E22:E25" si="3">D22</f>
        <v>3114103</v>
      </c>
      <c r="F22" s="240">
        <v>3048512</v>
      </c>
      <c r="G22" s="240">
        <v>3048512</v>
      </c>
      <c r="H22" s="157">
        <f t="shared" si="1"/>
        <v>2.1515742762370626E-2</v>
      </c>
      <c r="I22" s="158">
        <f t="shared" si="2"/>
        <v>2.1515742762370626E-2</v>
      </c>
    </row>
    <row r="23" spans="1:14" ht="21.6" customHeight="1">
      <c r="A23" s="64">
        <v>10</v>
      </c>
      <c r="B23" s="65" t="s">
        <v>5</v>
      </c>
      <c r="C23" s="66" t="s">
        <v>81</v>
      </c>
      <c r="D23" s="240">
        <f>184198+10</f>
        <v>184208</v>
      </c>
      <c r="E23" s="240">
        <f>D23</f>
        <v>184208</v>
      </c>
      <c r="F23" s="240">
        <v>171910</v>
      </c>
      <c r="G23" s="240">
        <v>171910</v>
      </c>
      <c r="H23" s="157">
        <f t="shared" si="1"/>
        <v>7.1537432377406784E-2</v>
      </c>
      <c r="I23" s="158">
        <f t="shared" si="2"/>
        <v>7.1537432377406784E-2</v>
      </c>
      <c r="M23" s="67"/>
      <c r="N23" s="68"/>
    </row>
    <row r="24" spans="1:14" ht="24" customHeight="1">
      <c r="A24" s="64">
        <v>11</v>
      </c>
      <c r="B24" s="65" t="s">
        <v>11</v>
      </c>
      <c r="C24" s="66" t="s">
        <v>81</v>
      </c>
      <c r="D24" s="240">
        <f>+D22+D23</f>
        <v>3298311</v>
      </c>
      <c r="E24" s="240">
        <f t="shared" si="3"/>
        <v>3298311</v>
      </c>
      <c r="F24" s="240">
        <v>3220422</v>
      </c>
      <c r="G24" s="240">
        <v>3220422</v>
      </c>
      <c r="H24" s="157">
        <f t="shared" si="1"/>
        <v>2.418596072191781E-2</v>
      </c>
      <c r="I24" s="158">
        <f t="shared" si="2"/>
        <v>2.418596072191781E-2</v>
      </c>
      <c r="M24" s="67"/>
      <c r="N24" s="68"/>
    </row>
    <row r="25" spans="1:14" ht="31.5" customHeight="1" thickBot="1">
      <c r="A25" s="69">
        <v>12</v>
      </c>
      <c r="B25" s="70" t="s">
        <v>104</v>
      </c>
      <c r="C25" s="71" t="s">
        <v>81</v>
      </c>
      <c r="D25" s="222">
        <f>+D17+D24</f>
        <v>3300702</v>
      </c>
      <c r="E25" s="222">
        <f t="shared" si="3"/>
        <v>3300702</v>
      </c>
      <c r="F25" s="222">
        <v>3222696</v>
      </c>
      <c r="G25" s="222">
        <v>3222696</v>
      </c>
      <c r="H25" s="159">
        <f t="shared" si="1"/>
        <v>2.4205199621683212E-2</v>
      </c>
      <c r="I25" s="160">
        <f t="shared" si="2"/>
        <v>2.4205199621683212E-2</v>
      </c>
      <c r="M25" s="67"/>
      <c r="N25" s="68"/>
    </row>
    <row r="26" spans="1:14" ht="12" customHeight="1">
      <c r="A26" s="114"/>
      <c r="B26" s="115"/>
      <c r="C26" s="116"/>
      <c r="D26" s="117"/>
      <c r="E26" s="117"/>
      <c r="F26" s="117"/>
      <c r="G26" s="117"/>
      <c r="H26" s="155"/>
      <c r="I26" s="156"/>
    </row>
    <row r="27" spans="1:14" ht="28.5" customHeight="1">
      <c r="A27" s="118" t="s">
        <v>6</v>
      </c>
      <c r="B27" s="112" t="s">
        <v>44</v>
      </c>
      <c r="C27" s="116"/>
      <c r="D27" s="117"/>
      <c r="E27" s="117"/>
      <c r="F27" s="117"/>
      <c r="G27" s="117"/>
      <c r="H27" s="155"/>
      <c r="I27" s="156"/>
    </row>
    <row r="28" spans="1:14" ht="12" customHeight="1" thickBot="1">
      <c r="A28" s="114"/>
      <c r="B28" s="115"/>
      <c r="C28" s="116"/>
      <c r="D28" s="117"/>
      <c r="E28" s="117"/>
      <c r="F28" s="117"/>
      <c r="G28" s="117"/>
      <c r="H28" s="155"/>
      <c r="I28" s="156"/>
    </row>
    <row r="29" spans="1:14" ht="21.6" customHeight="1">
      <c r="A29" s="76">
        <v>1</v>
      </c>
      <c r="B29" s="77" t="s">
        <v>4</v>
      </c>
      <c r="C29" s="119" t="s">
        <v>23</v>
      </c>
      <c r="D29" s="185">
        <f>+E29-703.732+25</f>
        <v>787.63599999999997</v>
      </c>
      <c r="E29" s="56">
        <f>1416.368+50</f>
        <v>1466.3679999999999</v>
      </c>
      <c r="F29" s="185">
        <f>+G29-1042.87</f>
        <v>998.03621454032282</v>
      </c>
      <c r="G29" s="56">
        <v>2040.9062145403227</v>
      </c>
      <c r="H29" s="183">
        <f>(D29-F29)/F29</f>
        <v>-0.2108142084175065</v>
      </c>
      <c r="I29" s="184">
        <f>(E29-G29)/G29</f>
        <v>-0.28151132592328704</v>
      </c>
    </row>
    <row r="30" spans="1:14" ht="21.6" customHeight="1">
      <c r="A30" s="64">
        <v>2</v>
      </c>
      <c r="B30" s="65" t="s">
        <v>101</v>
      </c>
      <c r="C30" s="66" t="s">
        <v>23</v>
      </c>
      <c r="D30" s="186">
        <v>0</v>
      </c>
      <c r="E30" s="169">
        <f>+D30</f>
        <v>0</v>
      </c>
      <c r="F30" s="186">
        <v>0</v>
      </c>
      <c r="G30" s="237">
        <f>+F30</f>
        <v>0</v>
      </c>
      <c r="H30" s="194" t="e">
        <f t="shared" ref="H30:H40" si="4">(D30-F30)/F30</f>
        <v>#DIV/0!</v>
      </c>
      <c r="I30" s="195" t="e">
        <f t="shared" ref="I30:I40" si="5">(E30-G30)/G30</f>
        <v>#DIV/0!</v>
      </c>
    </row>
    <row r="31" spans="1:14" ht="21.6" customHeight="1">
      <c r="A31" s="64">
        <v>3</v>
      </c>
      <c r="B31" s="65" t="s">
        <v>7</v>
      </c>
      <c r="C31" s="66" t="s">
        <v>23</v>
      </c>
      <c r="D31" s="186">
        <v>0</v>
      </c>
      <c r="E31" s="169">
        <v>0</v>
      </c>
      <c r="F31" s="186">
        <v>0</v>
      </c>
      <c r="G31" s="237">
        <v>0</v>
      </c>
      <c r="H31" s="157">
        <v>0</v>
      </c>
      <c r="I31" s="158">
        <v>0</v>
      </c>
    </row>
    <row r="32" spans="1:14" ht="24" customHeight="1">
      <c r="A32" s="64">
        <v>4</v>
      </c>
      <c r="B32" s="65" t="s">
        <v>8</v>
      </c>
      <c r="C32" s="66" t="s">
        <v>23</v>
      </c>
      <c r="D32" s="186">
        <f>D29+D30</f>
        <v>787.63599999999997</v>
      </c>
      <c r="E32" s="169">
        <f>E29+E30</f>
        <v>1466.3679999999999</v>
      </c>
      <c r="F32" s="186">
        <f>F29+F30</f>
        <v>998.03621454032282</v>
      </c>
      <c r="G32" s="237">
        <f>G29+G30</f>
        <v>2040.9062145403227</v>
      </c>
      <c r="H32" s="157">
        <f t="shared" si="4"/>
        <v>-0.2108142084175065</v>
      </c>
      <c r="I32" s="158">
        <f t="shared" si="5"/>
        <v>-0.28151132592328704</v>
      </c>
      <c r="M32" s="67"/>
      <c r="N32" s="68"/>
    </row>
    <row r="33" spans="1:14" ht="21.6" customHeight="1">
      <c r="A33" s="64">
        <v>5</v>
      </c>
      <c r="B33" s="65" t="s">
        <v>2</v>
      </c>
      <c r="C33" s="66" t="s">
        <v>23</v>
      </c>
      <c r="D33" s="186">
        <f>+E33-1008.665</f>
        <v>818.32200000000012</v>
      </c>
      <c r="E33" s="169">
        <v>1826.9870000000001</v>
      </c>
      <c r="F33" s="186">
        <f>+G33-867.77</f>
        <v>807.33133700000008</v>
      </c>
      <c r="G33" s="237">
        <v>1675.1013370000001</v>
      </c>
      <c r="H33" s="157">
        <f t="shared" si="4"/>
        <v>1.3613571648092782E-2</v>
      </c>
      <c r="I33" s="158">
        <f t="shared" si="5"/>
        <v>9.0672522100673378E-2</v>
      </c>
      <c r="M33" s="67"/>
      <c r="N33" s="68"/>
    </row>
    <row r="34" spans="1:14" ht="21.6" customHeight="1">
      <c r="A34" s="64">
        <v>6</v>
      </c>
      <c r="B34" s="65" t="s">
        <v>3</v>
      </c>
      <c r="C34" s="66" t="s">
        <v>23</v>
      </c>
      <c r="D34" s="338">
        <f>+E34-305.494</f>
        <v>455.553</v>
      </c>
      <c r="E34" s="314">
        <v>761.04700000000003</v>
      </c>
      <c r="F34" s="338">
        <f>+G34-513.486</f>
        <v>419.74699999999996</v>
      </c>
      <c r="G34" s="314">
        <v>933.23299999999995</v>
      </c>
      <c r="H34" s="340">
        <f t="shared" si="4"/>
        <v>8.53037663163764E-2</v>
      </c>
      <c r="I34" s="336">
        <f t="shared" si="5"/>
        <v>-0.18450483426968392</v>
      </c>
      <c r="M34" s="67"/>
      <c r="N34" s="68"/>
    </row>
    <row r="35" spans="1:14" ht="21.6" customHeight="1">
      <c r="A35" s="64">
        <v>7</v>
      </c>
      <c r="B35" s="65" t="s">
        <v>1</v>
      </c>
      <c r="C35" s="66" t="s">
        <v>23</v>
      </c>
      <c r="D35" s="339"/>
      <c r="E35" s="315"/>
      <c r="F35" s="339"/>
      <c r="G35" s="315"/>
      <c r="H35" s="341"/>
      <c r="I35" s="337"/>
    </row>
    <row r="36" spans="1:14" ht="21.6" customHeight="1">
      <c r="A36" s="64">
        <v>8</v>
      </c>
      <c r="B36" s="65" t="s">
        <v>119</v>
      </c>
      <c r="C36" s="66" t="s">
        <v>23</v>
      </c>
      <c r="D36" s="186">
        <f>+E36-84.411</f>
        <v>85.675000000000011</v>
      </c>
      <c r="E36" s="169">
        <v>170.08600000000001</v>
      </c>
      <c r="F36" s="186">
        <f>+G36-108.199</f>
        <v>92.820000000000007</v>
      </c>
      <c r="G36" s="237">
        <v>201.01900000000001</v>
      </c>
      <c r="H36" s="157">
        <f t="shared" si="4"/>
        <v>-7.6976944624003396E-2</v>
      </c>
      <c r="I36" s="158">
        <f t="shared" si="5"/>
        <v>-0.153880976425114</v>
      </c>
    </row>
    <row r="37" spans="1:14" ht="24" customHeight="1">
      <c r="A37" s="64">
        <v>9</v>
      </c>
      <c r="B37" s="65" t="s">
        <v>10</v>
      </c>
      <c r="C37" s="66" t="s">
        <v>23</v>
      </c>
      <c r="D37" s="186">
        <f>SUM(D33:D36)</f>
        <v>1359.55</v>
      </c>
      <c r="E37" s="169">
        <f>SUM(E33:E36)</f>
        <v>2758.12</v>
      </c>
      <c r="F37" s="186">
        <f>SUM(F33:F36)</f>
        <v>1319.8983369999999</v>
      </c>
      <c r="G37" s="237">
        <f>SUM(G33:G36)</f>
        <v>2809.3533370000005</v>
      </c>
      <c r="H37" s="157">
        <f t="shared" si="4"/>
        <v>3.0041452351644338E-2</v>
      </c>
      <c r="I37" s="158">
        <f t="shared" si="5"/>
        <v>-1.8236701067552673E-2</v>
      </c>
      <c r="M37" s="67"/>
      <c r="N37" s="68"/>
    </row>
    <row r="38" spans="1:14" ht="21.6" customHeight="1">
      <c r="A38" s="64">
        <v>10</v>
      </c>
      <c r="B38" s="65" t="s">
        <v>102</v>
      </c>
      <c r="C38" s="66" t="s">
        <v>23</v>
      </c>
      <c r="D38" s="186">
        <f>+E38-391.224</f>
        <v>204.14000000000004</v>
      </c>
      <c r="E38" s="169">
        <v>595.36400000000003</v>
      </c>
      <c r="F38" s="186">
        <f>+G38-379.55+27</f>
        <v>179.99499999999995</v>
      </c>
      <c r="G38" s="237">
        <v>532.54499999999996</v>
      </c>
      <c r="H38" s="157">
        <f t="shared" si="4"/>
        <v>0.13414261507264147</v>
      </c>
      <c r="I38" s="158">
        <f t="shared" si="5"/>
        <v>0.11795998460224033</v>
      </c>
      <c r="M38" s="67"/>
      <c r="N38" s="68"/>
    </row>
    <row r="39" spans="1:14" ht="24" customHeight="1">
      <c r="A39" s="64">
        <v>11</v>
      </c>
      <c r="B39" s="65" t="s">
        <v>11</v>
      </c>
      <c r="C39" s="66" t="s">
        <v>23</v>
      </c>
      <c r="D39" s="186">
        <f>SUM(D37:D38)</f>
        <v>1563.69</v>
      </c>
      <c r="E39" s="169">
        <f>SUM(E37:E38)</f>
        <v>3353.4839999999999</v>
      </c>
      <c r="F39" s="186">
        <f>SUM(F37:F38)</f>
        <v>1499.8933369999997</v>
      </c>
      <c r="G39" s="237">
        <f>SUM(G37:G38)</f>
        <v>3341.8983370000005</v>
      </c>
      <c r="H39" s="157">
        <f t="shared" si="4"/>
        <v>4.2534133212167417E-2</v>
      </c>
      <c r="I39" s="158">
        <f t="shared" si="5"/>
        <v>3.4667909767715308E-3</v>
      </c>
      <c r="M39" s="67"/>
      <c r="N39" s="68"/>
    </row>
    <row r="40" spans="1:14" ht="31.5" customHeight="1" thickBot="1">
      <c r="A40" s="69">
        <v>12</v>
      </c>
      <c r="B40" s="70" t="s">
        <v>12</v>
      </c>
      <c r="C40" s="71" t="s">
        <v>23</v>
      </c>
      <c r="D40" s="187">
        <f>D32+D39</f>
        <v>2351.326</v>
      </c>
      <c r="E40" s="57">
        <f>E32+E39</f>
        <v>4819.8519999999999</v>
      </c>
      <c r="F40" s="187">
        <f>F32+F39</f>
        <v>2497.9295515403228</v>
      </c>
      <c r="G40" s="57">
        <f>G32+G39</f>
        <v>5382.8045515403228</v>
      </c>
      <c r="H40" s="159">
        <f t="shared" si="4"/>
        <v>-5.8690026486103733E-2</v>
      </c>
      <c r="I40" s="160">
        <f t="shared" si="5"/>
        <v>-0.10458350217810353</v>
      </c>
    </row>
    <row r="41" spans="1:14">
      <c r="D41" s="136"/>
      <c r="E41" s="136"/>
      <c r="H41" s="136"/>
      <c r="I41" s="136"/>
    </row>
    <row r="43" spans="1:14" ht="12.75" customHeight="1">
      <c r="A43" s="313"/>
      <c r="B43" s="313"/>
    </row>
    <row r="52" spans="4:6" ht="23.25">
      <c r="D52" s="120">
        <v>1639.71</v>
      </c>
      <c r="E52" s="120">
        <v>5096.3599999999997</v>
      </c>
    </row>
    <row r="57" spans="4:6" ht="26.25">
      <c r="D57" s="83">
        <v>335.74</v>
      </c>
      <c r="E57" s="83">
        <v>335.74</v>
      </c>
      <c r="F57" s="121">
        <f>D40-D52</f>
        <v>711.61599999999999</v>
      </c>
    </row>
    <row r="58" spans="4:6" ht="26.25">
      <c r="D58" s="83">
        <v>346.72</v>
      </c>
      <c r="E58" s="83">
        <v>346.72</v>
      </c>
      <c r="F58" s="121">
        <f>E40-E52</f>
        <v>-276.50799999999981</v>
      </c>
    </row>
    <row r="59" spans="4:6" ht="26.25">
      <c r="D59" s="83">
        <f>SUM(D57:D58)</f>
        <v>682.46</v>
      </c>
      <c r="E59" s="83">
        <f>SUM(E57:E58)</f>
        <v>682.46</v>
      </c>
    </row>
    <row r="64" spans="4:6" ht="20.100000000000001" customHeight="1">
      <c r="D64" s="122" t="s">
        <v>219</v>
      </c>
      <c r="E64" s="122" t="s">
        <v>220</v>
      </c>
    </row>
    <row r="65" spans="3:6" ht="20.100000000000001" customHeight="1">
      <c r="C65" s="123" t="s">
        <v>221</v>
      </c>
      <c r="D65" s="124">
        <v>153.19999999999999</v>
      </c>
      <c r="E65" s="124">
        <v>171.66</v>
      </c>
      <c r="F65" s="125">
        <f>(D65-E65)/E65</f>
        <v>-0.1075381568216242</v>
      </c>
    </row>
    <row r="66" spans="3:6" ht="20.100000000000001" customHeight="1">
      <c r="C66" s="123" t="s">
        <v>222</v>
      </c>
      <c r="D66" s="124">
        <v>136.37</v>
      </c>
      <c r="E66" s="124">
        <v>136.62</v>
      </c>
      <c r="F66" s="125">
        <f>(D66-E66)/E66</f>
        <v>-1.8298931342409603E-3</v>
      </c>
    </row>
    <row r="67" spans="3:6" ht="20.100000000000001" customHeight="1">
      <c r="C67" s="123"/>
      <c r="D67" s="124">
        <f>SUM(D65:D66)</f>
        <v>289.57</v>
      </c>
      <c r="E67" s="124">
        <f>SUM(E65:E66)</f>
        <v>308.27999999999997</v>
      </c>
      <c r="F67" s="125">
        <f>(D67-E67)/E67</f>
        <v>-6.0691579083949593E-2</v>
      </c>
    </row>
    <row r="68" spans="3:6" ht="20.100000000000001" customHeight="1"/>
  </sheetData>
  <mergeCells count="23">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 ref="A43:B43"/>
    <mergeCell ref="H11:I11"/>
    <mergeCell ref="H12:H13"/>
    <mergeCell ref="I12:I13"/>
    <mergeCell ref="D13:E13"/>
    <mergeCell ref="D11:E11"/>
    <mergeCell ref="E19:E20"/>
    <mergeCell ref="D19:D20"/>
  </mergeCells>
  <phoneticPr fontId="1" type="noConversion"/>
  <printOptions horizontalCentered="1" verticalCentered="1"/>
  <pageMargins left="0.25" right="0.25" top="0.67500000000000004" bottom="0.25" header="0.5" footer="0.5"/>
  <pageSetup scale="56" orientation="landscape"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C000"/>
  </sheetPr>
  <dimension ref="A2:R57"/>
  <sheetViews>
    <sheetView view="pageBreakPreview" topLeftCell="A10" zoomScale="60" zoomScaleNormal="50" workbookViewId="0">
      <selection activeCell="E14" sqref="E14"/>
    </sheetView>
  </sheetViews>
  <sheetFormatPr defaultRowHeight="12.75"/>
  <cols>
    <col min="1" max="1" width="8" style="58" customWidth="1"/>
    <col min="2" max="2" width="80.140625" style="58" customWidth="1"/>
    <col min="3" max="3" width="23.28515625" style="58" customWidth="1"/>
    <col min="4" max="4" width="22.42578125" style="58" customWidth="1"/>
    <col min="5" max="5" width="23.28515625" style="58" customWidth="1"/>
    <col min="6" max="6" width="23.85546875" style="58" customWidth="1"/>
    <col min="7" max="7" width="23.42578125" style="58" customWidth="1"/>
    <col min="8" max="8" width="19.28515625" style="58" bestFit="1" customWidth="1"/>
    <col min="9" max="9" width="21" style="58" customWidth="1"/>
    <col min="10" max="10" width="12.5703125" style="58" bestFit="1" customWidth="1"/>
    <col min="11" max="11" width="17.85546875" style="58" bestFit="1" customWidth="1"/>
    <col min="12" max="12" width="14.7109375" style="58" bestFit="1" customWidth="1"/>
    <col min="13" max="13" width="9.140625" style="58"/>
    <col min="14" max="14" width="27.42578125" style="58" customWidth="1"/>
    <col min="15" max="15" width="24.5703125" style="58" customWidth="1"/>
    <col min="16" max="16" width="33.7109375" style="58" bestFit="1" customWidth="1"/>
    <col min="17" max="17" width="9.140625" style="58"/>
    <col min="18" max="18" width="33.42578125" style="58" customWidth="1"/>
    <col min="19" max="16384" width="9.140625" style="58"/>
  </cols>
  <sheetData>
    <row r="2" spans="1:13" ht="33">
      <c r="I2" s="59" t="s">
        <v>22</v>
      </c>
    </row>
    <row r="5" spans="1:13" ht="30">
      <c r="A5" s="335" t="s">
        <v>0</v>
      </c>
      <c r="B5" s="335"/>
      <c r="C5" s="335"/>
      <c r="D5" s="335"/>
      <c r="E5" s="335"/>
      <c r="F5" s="335"/>
      <c r="G5" s="335"/>
      <c r="H5" s="335"/>
      <c r="I5" s="335"/>
    </row>
    <row r="7" spans="1:13" ht="27.75">
      <c r="A7" s="342" t="s">
        <v>20</v>
      </c>
      <c r="B7" s="342"/>
      <c r="C7" s="342"/>
      <c r="D7" s="342"/>
      <c r="E7" s="342"/>
      <c r="F7" s="342"/>
      <c r="G7" s="342"/>
      <c r="H7" s="342"/>
      <c r="I7" s="342"/>
      <c r="J7" s="244"/>
      <c r="K7" s="244"/>
      <c r="L7" s="243"/>
      <c r="M7" s="123"/>
    </row>
    <row r="9" spans="1:13" ht="27.75">
      <c r="A9" s="342" t="s">
        <v>19</v>
      </c>
      <c r="B9" s="342"/>
      <c r="C9" s="342"/>
      <c r="D9" s="342"/>
      <c r="E9" s="342"/>
      <c r="F9" s="342"/>
      <c r="G9" s="342"/>
      <c r="H9" s="342"/>
      <c r="I9" s="342"/>
    </row>
    <row r="10" spans="1:13" ht="13.5" thickBot="1"/>
    <row r="11" spans="1:13" ht="21.6" customHeight="1">
      <c r="A11" s="60"/>
      <c r="B11" s="61"/>
      <c r="C11" s="61"/>
      <c r="D11" s="329" t="s">
        <v>16</v>
      </c>
      <c r="E11" s="329"/>
      <c r="F11" s="329" t="s">
        <v>83</v>
      </c>
      <c r="G11" s="329"/>
      <c r="H11" s="329" t="s">
        <v>17</v>
      </c>
      <c r="I11" s="330"/>
    </row>
    <row r="12" spans="1:13" ht="21.6" customHeight="1">
      <c r="A12" s="62"/>
      <c r="B12" s="54"/>
      <c r="C12" s="54"/>
      <c r="D12" s="54" t="s">
        <v>14</v>
      </c>
      <c r="E12" s="54" t="s">
        <v>15</v>
      </c>
      <c r="F12" s="54" t="s">
        <v>14</v>
      </c>
      <c r="G12" s="54" t="s">
        <v>15</v>
      </c>
      <c r="H12" s="331" t="s">
        <v>14</v>
      </c>
      <c r="I12" s="332" t="s">
        <v>15</v>
      </c>
    </row>
    <row r="13" spans="1:13" ht="21.6" customHeight="1">
      <c r="A13" s="62" t="s">
        <v>45</v>
      </c>
      <c r="B13" s="63" t="s">
        <v>121</v>
      </c>
      <c r="C13" s="54"/>
      <c r="D13" s="310" t="str">
        <f>+'SHEET-4'!D13:E13</f>
        <v>July-2020 to Sept-2020</v>
      </c>
      <c r="E13" s="310"/>
      <c r="F13" s="310" t="str">
        <f>+'SHEET-4'!F13:G13</f>
        <v>July-2019 to Sept-2019</v>
      </c>
      <c r="G13" s="310"/>
      <c r="H13" s="331"/>
      <c r="I13" s="332"/>
    </row>
    <row r="14" spans="1:13" ht="21.6" customHeight="1">
      <c r="A14" s="64">
        <v>1</v>
      </c>
      <c r="B14" s="65" t="s">
        <v>4</v>
      </c>
      <c r="C14" s="66" t="s">
        <v>13</v>
      </c>
      <c r="D14" s="169">
        <f>+E14-532.88</f>
        <v>626.4</v>
      </c>
      <c r="E14" s="169">
        <v>1159.28</v>
      </c>
      <c r="F14" s="237">
        <f>+G14-734.47</f>
        <v>737.15999999999985</v>
      </c>
      <c r="G14" s="237">
        <f>1474.62-2.99</f>
        <v>1471.6299999999999</v>
      </c>
      <c r="H14" s="157">
        <f>(D14-F14)/F14</f>
        <v>-0.1502523197134949</v>
      </c>
      <c r="I14" s="158">
        <f>(E14-G14)/G14</f>
        <v>-0.21224764376915389</v>
      </c>
    </row>
    <row r="15" spans="1:13" ht="21.6" customHeight="1">
      <c r="A15" s="64">
        <v>2</v>
      </c>
      <c r="B15" s="65" t="s">
        <v>82</v>
      </c>
      <c r="C15" s="66" t="s">
        <v>13</v>
      </c>
      <c r="D15" s="169">
        <v>0</v>
      </c>
      <c r="E15" s="169">
        <v>0</v>
      </c>
      <c r="F15" s="237">
        <v>0</v>
      </c>
      <c r="G15" s="237">
        <v>0</v>
      </c>
      <c r="H15" s="194" t="e">
        <f t="shared" ref="H15:I25" si="0">(D15-F15)/F15</f>
        <v>#DIV/0!</v>
      </c>
      <c r="I15" s="195" t="e">
        <f t="shared" si="0"/>
        <v>#DIV/0!</v>
      </c>
    </row>
    <row r="16" spans="1:13" ht="21.6" customHeight="1">
      <c r="A16" s="64">
        <v>3</v>
      </c>
      <c r="B16" s="65" t="s">
        <v>7</v>
      </c>
      <c r="C16" s="66" t="s">
        <v>13</v>
      </c>
      <c r="D16" s="169">
        <v>0</v>
      </c>
      <c r="E16" s="169">
        <v>0</v>
      </c>
      <c r="F16" s="237">
        <v>0</v>
      </c>
      <c r="G16" s="237">
        <v>0</v>
      </c>
      <c r="H16" s="157">
        <v>0</v>
      </c>
      <c r="I16" s="158">
        <v>0</v>
      </c>
    </row>
    <row r="17" spans="1:18" ht="24" customHeight="1">
      <c r="A17" s="64">
        <v>4</v>
      </c>
      <c r="B17" s="65" t="s">
        <v>8</v>
      </c>
      <c r="C17" s="66" t="s">
        <v>13</v>
      </c>
      <c r="D17" s="169">
        <f>SUM(D14:D16)</f>
        <v>626.4</v>
      </c>
      <c r="E17" s="169">
        <f>SUM(E14:E16)</f>
        <v>1159.28</v>
      </c>
      <c r="F17" s="237">
        <f>SUM(F14:F16)</f>
        <v>737.15999999999985</v>
      </c>
      <c r="G17" s="237">
        <f>SUM(G14:G16)</f>
        <v>1471.6299999999999</v>
      </c>
      <c r="H17" s="157">
        <f t="shared" si="0"/>
        <v>-0.1502523197134949</v>
      </c>
      <c r="I17" s="158">
        <f t="shared" si="0"/>
        <v>-0.21224764376915389</v>
      </c>
    </row>
    <row r="18" spans="1:18" ht="21.6" customHeight="1">
      <c r="A18" s="64">
        <v>5</v>
      </c>
      <c r="B18" s="65" t="s">
        <v>2</v>
      </c>
      <c r="C18" s="66" t="s">
        <v>13</v>
      </c>
      <c r="D18" s="169">
        <f>+E18-559.33</f>
        <v>459.42999999999995</v>
      </c>
      <c r="E18" s="169">
        <v>1018.76</v>
      </c>
      <c r="F18" s="237">
        <f>+G18-499.33</f>
        <v>466.04515917550003</v>
      </c>
      <c r="G18" s="237">
        <f>96537.51591755/100</f>
        <v>965.37515917550002</v>
      </c>
      <c r="H18" s="157">
        <f t="shared" si="0"/>
        <v>-1.4194245010941079E-2</v>
      </c>
      <c r="I18" s="158">
        <f t="shared" si="0"/>
        <v>5.5299579978932208E-2</v>
      </c>
      <c r="O18" s="67"/>
      <c r="P18" s="68"/>
    </row>
    <row r="19" spans="1:18" ht="21.6" customHeight="1">
      <c r="A19" s="64">
        <v>6</v>
      </c>
      <c r="B19" s="65" t="s">
        <v>3</v>
      </c>
      <c r="C19" s="66" t="s">
        <v>13</v>
      </c>
      <c r="D19" s="314">
        <f>+E19-226.03</f>
        <v>338.74900000000002</v>
      </c>
      <c r="E19" s="314">
        <v>564.779</v>
      </c>
      <c r="F19" s="314">
        <f>+G19-369.45</f>
        <v>314.72050000000007</v>
      </c>
      <c r="G19" s="314">
        <f>68417.05/100</f>
        <v>684.17050000000006</v>
      </c>
      <c r="H19" s="343">
        <f t="shared" si="0"/>
        <v>7.6348696700723168E-2</v>
      </c>
      <c r="I19" s="336">
        <f t="shared" si="0"/>
        <v>-0.17450547780122069</v>
      </c>
      <c r="O19" s="67"/>
      <c r="P19" s="68"/>
    </row>
    <row r="20" spans="1:18" ht="21.6" customHeight="1">
      <c r="A20" s="64">
        <v>7</v>
      </c>
      <c r="B20" s="65" t="s">
        <v>1</v>
      </c>
      <c r="C20" s="66" t="s">
        <v>13</v>
      </c>
      <c r="D20" s="315"/>
      <c r="E20" s="315"/>
      <c r="F20" s="315"/>
      <c r="G20" s="315"/>
      <c r="H20" s="344"/>
      <c r="I20" s="337"/>
      <c r="O20" s="67"/>
      <c r="P20" s="68"/>
    </row>
    <row r="21" spans="1:18" ht="21.6" customHeight="1">
      <c r="A21" s="64">
        <v>8</v>
      </c>
      <c r="B21" s="65" t="s">
        <v>119</v>
      </c>
      <c r="C21" s="66" t="s">
        <v>13</v>
      </c>
      <c r="D21" s="169">
        <f>+E21-49.38</f>
        <v>51.160000000000004</v>
      </c>
      <c r="E21" s="169">
        <v>100.54</v>
      </c>
      <c r="F21" s="237">
        <f>+G21-62.23</f>
        <v>55.213600000000007</v>
      </c>
      <c r="G21" s="237">
        <f>11744.36/100</f>
        <v>117.4436</v>
      </c>
      <c r="H21" s="157">
        <f t="shared" si="0"/>
        <v>-7.3416694437602376E-2</v>
      </c>
      <c r="I21" s="158">
        <f t="shared" si="0"/>
        <v>-0.14392951169752968</v>
      </c>
    </row>
    <row r="22" spans="1:18" ht="24" customHeight="1">
      <c r="A22" s="64">
        <v>9</v>
      </c>
      <c r="B22" s="65" t="s">
        <v>10</v>
      </c>
      <c r="C22" s="66" t="s">
        <v>13</v>
      </c>
      <c r="D22" s="169">
        <f>SUM(D18:D21)</f>
        <v>849.33899999999994</v>
      </c>
      <c r="E22" s="169">
        <f>SUM(E18:E21)</f>
        <v>1684.079</v>
      </c>
      <c r="F22" s="237">
        <f>SUM(F18:F21)</f>
        <v>835.97925917550015</v>
      </c>
      <c r="G22" s="237">
        <f>SUM(G18:G21)</f>
        <v>1766.9892591755001</v>
      </c>
      <c r="H22" s="157">
        <f t="shared" si="0"/>
        <v>1.598094770637741E-2</v>
      </c>
      <c r="I22" s="158">
        <f t="shared" si="0"/>
        <v>-4.6921767489513308E-2</v>
      </c>
      <c r="O22" s="67"/>
      <c r="P22" s="68"/>
    </row>
    <row r="23" spans="1:18" ht="21.6" customHeight="1">
      <c r="A23" s="64">
        <v>10</v>
      </c>
      <c r="B23" s="65" t="s">
        <v>108</v>
      </c>
      <c r="C23" s="66" t="s">
        <v>13</v>
      </c>
      <c r="D23" s="169">
        <f>+E23-129.72</f>
        <v>75.289999999999992</v>
      </c>
      <c r="E23" s="169">
        <v>205.01</v>
      </c>
      <c r="F23" s="237">
        <f>+G23-111.64</f>
        <v>68.926399999999987</v>
      </c>
      <c r="G23" s="237">
        <f>18056.64/100</f>
        <v>180.56639999999999</v>
      </c>
      <c r="H23" s="157">
        <f t="shared" si="0"/>
        <v>9.2324566494115551E-2</v>
      </c>
      <c r="I23" s="158">
        <f t="shared" si="0"/>
        <v>0.13537180782249636</v>
      </c>
      <c r="O23" s="67"/>
      <c r="P23" s="68"/>
    </row>
    <row r="24" spans="1:18" ht="24" customHeight="1">
      <c r="A24" s="64">
        <v>11</v>
      </c>
      <c r="B24" s="65" t="s">
        <v>11</v>
      </c>
      <c r="C24" s="66" t="s">
        <v>13</v>
      </c>
      <c r="D24" s="169">
        <f>SUM(D22:D23)</f>
        <v>924.62899999999991</v>
      </c>
      <c r="E24" s="217">
        <f>SUM(E22:E23)</f>
        <v>1889.0889999999999</v>
      </c>
      <c r="F24" s="237">
        <f>SUM(F22:F23)</f>
        <v>904.90565917550009</v>
      </c>
      <c r="G24" s="237">
        <f>SUM(G22:G23)</f>
        <v>1947.5556591755001</v>
      </c>
      <c r="H24" s="157">
        <f t="shared" si="0"/>
        <v>2.1796018871702749E-2</v>
      </c>
      <c r="I24" s="158">
        <f t="shared" si="0"/>
        <v>-3.0020533123172488E-2</v>
      </c>
      <c r="O24" s="67"/>
      <c r="P24" s="68"/>
    </row>
    <row r="25" spans="1:18" ht="31.5" customHeight="1" thickBot="1">
      <c r="A25" s="69">
        <v>12</v>
      </c>
      <c r="B25" s="70" t="s">
        <v>12</v>
      </c>
      <c r="C25" s="71" t="s">
        <v>13</v>
      </c>
      <c r="D25" s="57">
        <f>D17+D24</f>
        <v>1551.029</v>
      </c>
      <c r="E25" s="57">
        <f>E17+E24</f>
        <v>3048.3689999999997</v>
      </c>
      <c r="F25" s="57">
        <f>F17+F24</f>
        <v>1642.0656591755001</v>
      </c>
      <c r="G25" s="57">
        <f>G17+G24</f>
        <v>3419.1856591754999</v>
      </c>
      <c r="H25" s="159">
        <f t="shared" si="0"/>
        <v>-5.5440328263859202E-2</v>
      </c>
      <c r="I25" s="160">
        <f t="shared" si="0"/>
        <v>-0.10845174732773029</v>
      </c>
      <c r="K25" s="246"/>
    </row>
    <row r="26" spans="1:18" ht="15" customHeight="1">
      <c r="A26" s="55"/>
      <c r="B26" s="72"/>
      <c r="C26" s="73"/>
      <c r="D26" s="137"/>
      <c r="E26" s="137"/>
      <c r="F26" s="55"/>
      <c r="G26" s="55"/>
      <c r="H26" s="137"/>
      <c r="I26" s="137"/>
    </row>
    <row r="27" spans="1:18" ht="28.5" customHeight="1">
      <c r="A27" s="74" t="s">
        <v>46</v>
      </c>
      <c r="B27" s="75" t="s">
        <v>18</v>
      </c>
      <c r="C27" s="73"/>
      <c r="D27" s="55"/>
      <c r="E27" s="55"/>
      <c r="F27" s="55"/>
      <c r="G27" s="55"/>
      <c r="H27" s="137"/>
      <c r="I27" s="137"/>
    </row>
    <row r="28" spans="1:18" ht="15" customHeight="1" thickBot="1">
      <c r="A28" s="55"/>
      <c r="B28" s="72"/>
      <c r="C28" s="73"/>
      <c r="D28" s="55"/>
      <c r="E28" s="55"/>
      <c r="F28" s="55"/>
      <c r="G28" s="55"/>
      <c r="H28" s="137"/>
      <c r="I28" s="137"/>
    </row>
    <row r="29" spans="1:18" ht="21.6" customHeight="1">
      <c r="A29" s="76">
        <v>1</v>
      </c>
      <c r="B29" s="77" t="s">
        <v>4</v>
      </c>
      <c r="C29" s="78" t="s">
        <v>21</v>
      </c>
      <c r="D29" s="188">
        <f>D14/'SHEET-4'!D29*1000</f>
        <v>795.29122589622614</v>
      </c>
      <c r="E29" s="56">
        <f>E14/'SHEET-4'!E29*1000</f>
        <v>790.57917248603349</v>
      </c>
      <c r="F29" s="56">
        <f>F14/'SHEET-4'!F29*1000</f>
        <v>738.61047250627303</v>
      </c>
      <c r="G29" s="56">
        <f>G14/'SHEET-4'!G29*1000</f>
        <v>721.0669405166459</v>
      </c>
      <c r="H29" s="183">
        <f>(D29-F29)/F29</f>
        <v>7.673970990097452E-2</v>
      </c>
      <c r="I29" s="184">
        <f>(E29-G29)/G29</f>
        <v>9.6401912310085852E-2</v>
      </c>
      <c r="N29" s="79">
        <f>(D14/'SHEET-4'!D29)*1000</f>
        <v>795.29122589622614</v>
      </c>
      <c r="O29" s="79">
        <f>(E14/'SHEET-4'!E29)*1000</f>
        <v>790.57917248603349</v>
      </c>
      <c r="P29" s="79">
        <f>(F14/'SHEET-4'!F29)*1000</f>
        <v>738.61047250627303</v>
      </c>
      <c r="Q29" s="79">
        <f>(G14/'SHEET-4'!G29)*1000</f>
        <v>721.0669405166459</v>
      </c>
      <c r="R29" s="80"/>
    </row>
    <row r="30" spans="1:18" ht="21.6" customHeight="1">
      <c r="A30" s="64">
        <v>2</v>
      </c>
      <c r="B30" s="65" t="s">
        <v>82</v>
      </c>
      <c r="C30" s="81" t="s">
        <v>21</v>
      </c>
      <c r="D30" s="150">
        <v>0</v>
      </c>
      <c r="E30" s="169">
        <v>0</v>
      </c>
      <c r="F30" s="201">
        <v>0</v>
      </c>
      <c r="G30" s="201">
        <v>0</v>
      </c>
      <c r="H30" s="194" t="e">
        <f t="shared" ref="H30:I40" si="1">(D30-F30)/F30</f>
        <v>#DIV/0!</v>
      </c>
      <c r="I30" s="195" t="e">
        <f t="shared" si="1"/>
        <v>#DIV/0!</v>
      </c>
      <c r="N30" s="79" t="e">
        <f>(D15/'SHEET-4'!D30)*1000</f>
        <v>#DIV/0!</v>
      </c>
      <c r="O30" s="79" t="e">
        <f>(E15/'SHEET-4'!E30)*1000</f>
        <v>#DIV/0!</v>
      </c>
      <c r="P30" s="79" t="e">
        <f>(F15/'SHEET-4'!F30)*1000</f>
        <v>#DIV/0!</v>
      </c>
      <c r="R30" s="80"/>
    </row>
    <row r="31" spans="1:18" ht="21.6" customHeight="1">
      <c r="A31" s="64">
        <v>3</v>
      </c>
      <c r="B31" s="65" t="s">
        <v>7</v>
      </c>
      <c r="C31" s="81" t="s">
        <v>21</v>
      </c>
      <c r="D31" s="150">
        <v>0</v>
      </c>
      <c r="E31" s="169">
        <v>0</v>
      </c>
      <c r="F31" s="201">
        <v>0</v>
      </c>
      <c r="G31" s="201">
        <f t="shared" ref="G31" si="2">F31</f>
        <v>0</v>
      </c>
      <c r="H31" s="157">
        <v>0</v>
      </c>
      <c r="I31" s="158">
        <v>0</v>
      </c>
      <c r="N31" s="79" t="e">
        <f>(D16/'SHEET-4'!D31)*1000</f>
        <v>#DIV/0!</v>
      </c>
      <c r="O31" s="79" t="e">
        <f>(E16/'SHEET-4'!E31)*1000</f>
        <v>#DIV/0!</v>
      </c>
      <c r="P31" s="79" t="e">
        <f>(F16/'SHEET-4'!F31)*1000</f>
        <v>#DIV/0!</v>
      </c>
      <c r="R31" s="80"/>
    </row>
    <row r="32" spans="1:18" ht="24" customHeight="1">
      <c r="A32" s="64">
        <v>4</v>
      </c>
      <c r="B32" s="65" t="s">
        <v>8</v>
      </c>
      <c r="C32" s="81" t="s">
        <v>21</v>
      </c>
      <c r="D32" s="150">
        <f>D17/'SHEET-4'!D32*1000</f>
        <v>795.29122589622614</v>
      </c>
      <c r="E32" s="150">
        <f>E17/'SHEET-4'!E32*1000</f>
        <v>790.57917248603349</v>
      </c>
      <c r="F32" s="200">
        <f>F17/'SHEET-4'!F32*1000</f>
        <v>738.61047250627303</v>
      </c>
      <c r="G32" s="200">
        <f>G17/'SHEET-4'!G32*1000</f>
        <v>721.0669405166459</v>
      </c>
      <c r="H32" s="157">
        <f t="shared" si="1"/>
        <v>7.673970990097452E-2</v>
      </c>
      <c r="I32" s="158">
        <f t="shared" si="1"/>
        <v>9.6401912310085852E-2</v>
      </c>
      <c r="N32" s="79">
        <f>(D17/'SHEET-4'!D32)*1000</f>
        <v>795.29122589622614</v>
      </c>
      <c r="O32" s="79">
        <f>(E17/'SHEET-4'!E32)*1000</f>
        <v>790.57917248603349</v>
      </c>
      <c r="P32" s="79">
        <f>(F17/'SHEET-4'!F32)*1000</f>
        <v>738.61047250627303</v>
      </c>
      <c r="R32" s="80"/>
    </row>
    <row r="33" spans="1:18" ht="21.6" customHeight="1">
      <c r="A33" s="64">
        <v>5</v>
      </c>
      <c r="B33" s="65" t="s">
        <v>2</v>
      </c>
      <c r="C33" s="81" t="s">
        <v>21</v>
      </c>
      <c r="D33" s="150">
        <f>D18/'SHEET-4'!D33*1000</f>
        <v>561.42936399119162</v>
      </c>
      <c r="E33" s="169">
        <f>E18/'SHEET-4'!E33*1000</f>
        <v>557.61754188727116</v>
      </c>
      <c r="F33" s="201">
        <f>F18/'SHEET-4'!F33*1000</f>
        <v>577.26628190514555</v>
      </c>
      <c r="G33" s="205">
        <f>G18/'SHEET-4'!G33*1000</f>
        <v>576.30851211928803</v>
      </c>
      <c r="H33" s="157">
        <f t="shared" si="1"/>
        <v>-2.7434337342010555E-2</v>
      </c>
      <c r="I33" s="158">
        <f t="shared" si="1"/>
        <v>-3.2432230027773894E-2</v>
      </c>
      <c r="N33" s="79">
        <f>(D18/'SHEET-4'!D33)*1000</f>
        <v>561.42936399119162</v>
      </c>
      <c r="O33" s="79">
        <f>(E18/'SHEET-4'!E33)*1000</f>
        <v>557.61754188727116</v>
      </c>
      <c r="P33" s="79">
        <f>(F18/'SHEET-4'!F33)*1000</f>
        <v>577.26628190514555</v>
      </c>
      <c r="R33" s="80"/>
    </row>
    <row r="34" spans="1:18" ht="21.6" customHeight="1">
      <c r="A34" s="64">
        <v>6</v>
      </c>
      <c r="B34" s="65" t="s">
        <v>3</v>
      </c>
      <c r="C34" s="81" t="s">
        <v>21</v>
      </c>
      <c r="D34" s="345">
        <f>D19/'SHEET-4'!D34*1000</f>
        <v>743.59953726569699</v>
      </c>
      <c r="E34" s="346">
        <f>E19/'SHEET-4'!E34*1000</f>
        <v>742.10791186352492</v>
      </c>
      <c r="F34" s="314">
        <f>F19/'SHEET-4'!F34:F35*1000</f>
        <v>749.78618072315021</v>
      </c>
      <c r="G34" s="347">
        <f>G19/'SHEET-4'!G34*1000</f>
        <v>733.11863168147727</v>
      </c>
      <c r="H34" s="349">
        <f t="shared" si="1"/>
        <v>-8.2512103003636993E-3</v>
      </c>
      <c r="I34" s="350">
        <f t="shared" si="1"/>
        <v>1.226169925790848E-2</v>
      </c>
      <c r="N34" s="79">
        <f>(D19/'SHEET-4'!D34)*1000</f>
        <v>743.59953726569699</v>
      </c>
      <c r="O34" s="79">
        <f>(E19/'SHEET-4'!E34)*1000</f>
        <v>742.10791186352492</v>
      </c>
      <c r="P34" s="79">
        <f>(F19/'SHEET-4'!F34)*1000</f>
        <v>749.78618072315021</v>
      </c>
      <c r="R34" s="80"/>
    </row>
    <row r="35" spans="1:18" ht="21.6" customHeight="1">
      <c r="A35" s="64">
        <v>7</v>
      </c>
      <c r="B35" s="65" t="s">
        <v>1</v>
      </c>
      <c r="C35" s="81" t="s">
        <v>21</v>
      </c>
      <c r="D35" s="345"/>
      <c r="E35" s="346"/>
      <c r="F35" s="315"/>
      <c r="G35" s="348"/>
      <c r="H35" s="349"/>
      <c r="I35" s="350"/>
      <c r="N35" s="79" t="e">
        <f>(D20/'SHEET-4'!D35)*1000</f>
        <v>#DIV/0!</v>
      </c>
      <c r="O35" s="79" t="e">
        <f>(E20/'SHEET-4'!E35)*1000</f>
        <v>#DIV/0!</v>
      </c>
      <c r="P35" s="79" t="e">
        <f>(F20/'SHEET-4'!F35)*1000</f>
        <v>#DIV/0!</v>
      </c>
      <c r="R35" s="80"/>
    </row>
    <row r="36" spans="1:18" ht="21.6" customHeight="1">
      <c r="A36" s="64">
        <v>8</v>
      </c>
      <c r="B36" s="65" t="s">
        <v>119</v>
      </c>
      <c r="C36" s="81" t="s">
        <v>21</v>
      </c>
      <c r="D36" s="150">
        <f>D21/'SHEET-4'!D36*1000</f>
        <v>597.14035599649844</v>
      </c>
      <c r="E36" s="169">
        <f>E21/'SHEET-4'!E36*1000</f>
        <v>591.11273120656608</v>
      </c>
      <c r="F36" s="201">
        <f>F21/'SHEET-4'!F36*1000</f>
        <v>594.84593837535022</v>
      </c>
      <c r="G36" s="205">
        <f>G21/'SHEET-4'!G36*1000</f>
        <v>584.24129062426937</v>
      </c>
      <c r="H36" s="157">
        <f t="shared" si="1"/>
        <v>3.8571627931339096E-3</v>
      </c>
      <c r="I36" s="158">
        <f t="shared" si="1"/>
        <v>1.1761305975061247E-2</v>
      </c>
      <c r="N36" s="79">
        <f>(D21/'SHEET-4'!D36)*1000</f>
        <v>597.14035599649844</v>
      </c>
      <c r="O36" s="79">
        <f>(E21/'SHEET-4'!E36)*1000</f>
        <v>591.11273120656608</v>
      </c>
      <c r="P36" s="79">
        <f>(F21/'SHEET-4'!F36)*1000</f>
        <v>594.84593837535022</v>
      </c>
      <c r="R36" s="80"/>
    </row>
    <row r="37" spans="1:18" ht="24" customHeight="1">
      <c r="A37" s="64">
        <v>9</v>
      </c>
      <c r="B37" s="65" t="s">
        <v>10</v>
      </c>
      <c r="C37" s="81" t="s">
        <v>21</v>
      </c>
      <c r="D37" s="150">
        <f>D22/'SHEET-4'!D37*1000</f>
        <v>624.72067963664449</v>
      </c>
      <c r="E37" s="169">
        <f>E22/'SHEET-4'!E37*1000</f>
        <v>610.58945948689689</v>
      </c>
      <c r="F37" s="201">
        <f>F22/'SHEET-4'!F37*1000</f>
        <v>633.36640083629425</v>
      </c>
      <c r="G37" s="205">
        <f>G22/'SHEET-4'!G37*1000</f>
        <v>628.9665439742796</v>
      </c>
      <c r="H37" s="157">
        <f t="shared" si="1"/>
        <v>-1.3650426022337124E-2</v>
      </c>
      <c r="I37" s="158">
        <f t="shared" si="1"/>
        <v>-2.9217904614230503E-2</v>
      </c>
      <c r="N37" s="79">
        <f>(D22/'SHEET-4'!D37)*1000</f>
        <v>624.72067963664449</v>
      </c>
      <c r="O37" s="79">
        <f>(E22/'SHEET-4'!E37)*1000</f>
        <v>610.58945948689689</v>
      </c>
      <c r="P37" s="79">
        <f>(F22/'SHEET-4'!F37)*1000</f>
        <v>633.36640083629425</v>
      </c>
      <c r="R37" s="80"/>
    </row>
    <row r="38" spans="1:18" ht="21.6" customHeight="1">
      <c r="A38" s="64">
        <v>10</v>
      </c>
      <c r="B38" s="65" t="s">
        <v>5</v>
      </c>
      <c r="C38" s="81" t="s">
        <v>21</v>
      </c>
      <c r="D38" s="150">
        <f>D23/'SHEET-4'!D38*1000</f>
        <v>368.81551876163405</v>
      </c>
      <c r="E38" s="169">
        <f>E23/'SHEET-4'!E38*1000</f>
        <v>344.34396436465755</v>
      </c>
      <c r="F38" s="221">
        <f>F23/'SHEET-4'!F38*1000</f>
        <v>382.93508153004251</v>
      </c>
      <c r="G38" s="205">
        <f>G23/'SHEET-4'!G38*1000</f>
        <v>339.06317775962594</v>
      </c>
      <c r="H38" s="157">
        <f t="shared" si="1"/>
        <v>-3.687194892667657E-2</v>
      </c>
      <c r="I38" s="158">
        <f t="shared" si="1"/>
        <v>1.557463903902696E-2</v>
      </c>
      <c r="N38" s="79">
        <f>(D23/'SHEET-4'!D38)*1000</f>
        <v>368.81551876163405</v>
      </c>
      <c r="O38" s="79">
        <f>(E23/'SHEET-4'!E38)*1000</f>
        <v>344.34396436465755</v>
      </c>
      <c r="P38" s="79">
        <f>(F23/'SHEET-4'!F38)*1000</f>
        <v>382.93508153004251</v>
      </c>
      <c r="R38" s="80"/>
    </row>
    <row r="39" spans="1:18" ht="24" customHeight="1">
      <c r="A39" s="64">
        <v>11</v>
      </c>
      <c r="B39" s="65" t="s">
        <v>11</v>
      </c>
      <c r="C39" s="81" t="s">
        <v>21</v>
      </c>
      <c r="D39" s="150">
        <f>D24/'SHEET-4'!D39*1000</f>
        <v>591.31221661582538</v>
      </c>
      <c r="E39" s="169">
        <f>E24/'SHEET-4'!E39*1000</f>
        <v>563.32131001668722</v>
      </c>
      <c r="F39" s="201">
        <f>F24/'SHEET-4'!F39*1000</f>
        <v>603.31334025754143</v>
      </c>
      <c r="G39" s="205">
        <f>G24/'SHEET-4'!G39*1000</f>
        <v>582.76927146856531</v>
      </c>
      <c r="H39" s="157">
        <f t="shared" si="1"/>
        <v>-1.9892024327844347E-2</v>
      </c>
      <c r="I39" s="158">
        <f t="shared" si="1"/>
        <v>-3.3371631628533995E-2</v>
      </c>
      <c r="N39" s="79">
        <f>(D24/'SHEET-4'!D39)*1000</f>
        <v>591.31221661582538</v>
      </c>
      <c r="O39" s="79">
        <f>(E24/'SHEET-4'!E39)*1000</f>
        <v>563.32131001668722</v>
      </c>
      <c r="P39" s="79">
        <f>(F24/'SHEET-4'!F39)*1000</f>
        <v>603.31334025754143</v>
      </c>
      <c r="R39" s="80"/>
    </row>
    <row r="40" spans="1:18" ht="31.5" customHeight="1" thickBot="1">
      <c r="A40" s="69">
        <v>12</v>
      </c>
      <c r="B40" s="70" t="s">
        <v>12</v>
      </c>
      <c r="C40" s="82" t="s">
        <v>21</v>
      </c>
      <c r="D40" s="189">
        <f>D25/'SHEET-4'!D40*1000</f>
        <v>659.64013497065059</v>
      </c>
      <c r="E40" s="57">
        <f>E25/'SHEET-4'!E40*1000</f>
        <v>632.46112121285046</v>
      </c>
      <c r="F40" s="57">
        <f>F25/'SHEET-4'!F40*1000</f>
        <v>657.37068451867958</v>
      </c>
      <c r="G40" s="205">
        <f>G25/'SHEET-4'!G40*1000</f>
        <v>635.20524039779207</v>
      </c>
      <c r="H40" s="159">
        <f t="shared" si="1"/>
        <v>3.4523146611453786E-3</v>
      </c>
      <c r="I40" s="160">
        <f t="shared" si="1"/>
        <v>-4.3200512376489969E-3</v>
      </c>
      <c r="N40" s="79">
        <f>(D25/'SHEET-4'!D40)*1000</f>
        <v>659.64013497065059</v>
      </c>
      <c r="O40" s="79">
        <f>(E25/'SHEET-4'!E40)*1000</f>
        <v>632.46112121285046</v>
      </c>
      <c r="P40" s="79">
        <f>(F25/'SHEET-4'!F40)*1000</f>
        <v>657.37068451867958</v>
      </c>
      <c r="R40" s="80"/>
    </row>
    <row r="41" spans="1:18" ht="23.25">
      <c r="P41" s="80"/>
    </row>
    <row r="42" spans="1:18" ht="23.25">
      <c r="P42" s="80"/>
    </row>
    <row r="43" spans="1:18" ht="12.75" customHeight="1">
      <c r="A43" s="313"/>
      <c r="B43" s="313"/>
      <c r="P43" s="80"/>
    </row>
    <row r="44" spans="1:18" ht="23.25">
      <c r="P44" s="80"/>
    </row>
    <row r="49" spans="4:6" ht="26.25">
      <c r="D49" s="83"/>
    </row>
    <row r="50" spans="4:6" ht="26.25">
      <c r="D50" s="83"/>
    </row>
    <row r="51" spans="4:6" ht="26.25">
      <c r="D51" s="84"/>
    </row>
    <row r="55" spans="4:6" ht="23.25">
      <c r="F55" s="68"/>
    </row>
    <row r="56" spans="4:6" ht="23.25">
      <c r="F56" s="68"/>
    </row>
    <row r="57" spans="4:6" ht="23.25">
      <c r="F57" s="68"/>
    </row>
  </sheetData>
  <mergeCells count="23">
    <mergeCell ref="A5:I5"/>
    <mergeCell ref="A7:I7"/>
    <mergeCell ref="A9:I9"/>
    <mergeCell ref="D11:E11"/>
    <mergeCell ref="F11:G11"/>
    <mergeCell ref="H11:I11"/>
    <mergeCell ref="H34:H35"/>
    <mergeCell ref="I34:I35"/>
    <mergeCell ref="H12:H13"/>
    <mergeCell ref="I12:I13"/>
    <mergeCell ref="D13:E13"/>
    <mergeCell ref="F13:G13"/>
    <mergeCell ref="D19:D20"/>
    <mergeCell ref="E19:E20"/>
    <mergeCell ref="F19:F20"/>
    <mergeCell ref="G19:G20"/>
    <mergeCell ref="H19:H20"/>
    <mergeCell ref="I19:I20"/>
    <mergeCell ref="A43:B43"/>
    <mergeCell ref="D34:D35"/>
    <mergeCell ref="E34:E35"/>
    <mergeCell ref="F34:F35"/>
    <mergeCell ref="G34:G35"/>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sheetPr>
    <tabColor theme="6" tint="-0.249977111117893"/>
  </sheetPr>
  <dimension ref="A2:P76"/>
  <sheetViews>
    <sheetView view="pageBreakPreview" topLeftCell="A34" zoomScale="60" zoomScaleNormal="60" workbookViewId="0">
      <selection activeCell="F44" sqref="F44"/>
    </sheetView>
  </sheetViews>
  <sheetFormatPr defaultRowHeight="12.75"/>
  <cols>
    <col min="1" max="1" width="8" customWidth="1"/>
    <col min="2" max="2" width="65.85546875" customWidth="1"/>
    <col min="3" max="3" width="22" customWidth="1"/>
    <col min="4" max="4" width="24.7109375" customWidth="1"/>
    <col min="5" max="5" width="25.5703125" customWidth="1"/>
    <col min="6" max="6" width="24.140625" customWidth="1"/>
    <col min="7" max="7" width="25.5703125" customWidth="1"/>
    <col min="8" max="9" width="21.85546875" bestFit="1" customWidth="1"/>
    <col min="14" max="14" width="39.42578125" customWidth="1"/>
  </cols>
  <sheetData>
    <row r="2" spans="1:10" ht="30">
      <c r="I2" s="48" t="s">
        <v>226</v>
      </c>
    </row>
    <row r="5" spans="1:10" ht="30">
      <c r="A5" s="358" t="s">
        <v>0</v>
      </c>
      <c r="B5" s="358"/>
      <c r="C5" s="358"/>
      <c r="D5" s="358"/>
      <c r="E5" s="358"/>
      <c r="F5" s="358"/>
      <c r="G5" s="358"/>
      <c r="H5" s="358"/>
      <c r="I5" s="358"/>
      <c r="J5" s="5"/>
    </row>
    <row r="6" spans="1:10" ht="8.25" customHeight="1">
      <c r="A6" s="5"/>
      <c r="B6" s="5"/>
      <c r="C6" s="5"/>
      <c r="D6" s="5"/>
      <c r="E6" s="5"/>
      <c r="F6" s="5"/>
      <c r="G6" s="5"/>
      <c r="H6" s="5"/>
      <c r="I6" s="5"/>
      <c r="J6" s="5"/>
    </row>
    <row r="7" spans="1:10" ht="30">
      <c r="A7" s="360" t="s">
        <v>20</v>
      </c>
      <c r="B7" s="360"/>
      <c r="C7" s="360"/>
      <c r="D7" s="360"/>
      <c r="E7" s="360"/>
      <c r="F7" s="360"/>
      <c r="G7" s="360"/>
      <c r="H7" s="360"/>
      <c r="I7" s="360"/>
      <c r="J7" s="5"/>
    </row>
    <row r="8" spans="1:10" ht="8.25" customHeight="1">
      <c r="A8" s="5"/>
      <c r="B8" s="5"/>
      <c r="C8" s="5"/>
      <c r="D8" s="5"/>
      <c r="E8" s="5"/>
      <c r="F8" s="5"/>
      <c r="G8" s="5"/>
      <c r="H8" s="5"/>
      <c r="I8" s="5"/>
      <c r="J8" s="5"/>
    </row>
    <row r="9" spans="1:10" ht="27.75">
      <c r="A9" s="359" t="s">
        <v>40</v>
      </c>
      <c r="B9" s="359"/>
      <c r="C9" s="359"/>
      <c r="D9" s="359"/>
      <c r="E9" s="359"/>
      <c r="F9" s="359"/>
      <c r="G9" s="359"/>
      <c r="H9" s="359"/>
      <c r="I9" s="359"/>
      <c r="J9" s="5"/>
    </row>
    <row r="10" spans="1:10" ht="13.5" thickBot="1">
      <c r="A10" s="5"/>
      <c r="B10" s="5"/>
      <c r="C10" s="5"/>
      <c r="D10" s="5"/>
      <c r="E10" s="5"/>
      <c r="F10" s="5"/>
      <c r="G10" s="5"/>
      <c r="H10" s="5"/>
      <c r="I10" s="5"/>
      <c r="J10" s="5"/>
    </row>
    <row r="11" spans="1:10" ht="18">
      <c r="A11" s="12"/>
      <c r="B11" s="50"/>
      <c r="C11" s="50"/>
      <c r="D11" s="361" t="s">
        <v>16</v>
      </c>
      <c r="E11" s="361"/>
      <c r="F11" s="361" t="s">
        <v>66</v>
      </c>
      <c r="G11" s="361"/>
      <c r="H11" s="361" t="s">
        <v>17</v>
      </c>
      <c r="I11" s="362"/>
      <c r="J11" s="5"/>
    </row>
    <row r="12" spans="1:10" ht="18">
      <c r="A12" s="13"/>
      <c r="B12" s="51"/>
      <c r="C12" s="51"/>
      <c r="D12" s="51" t="s">
        <v>14</v>
      </c>
      <c r="E12" s="51" t="s">
        <v>15</v>
      </c>
      <c r="F12" s="51" t="s">
        <v>14</v>
      </c>
      <c r="G12" s="51" t="s">
        <v>15</v>
      </c>
      <c r="H12" s="351" t="s">
        <v>14</v>
      </c>
      <c r="I12" s="353" t="s">
        <v>15</v>
      </c>
      <c r="J12" s="5"/>
    </row>
    <row r="13" spans="1:10" ht="27" customHeight="1" thickBot="1">
      <c r="A13" s="15" t="s">
        <v>38</v>
      </c>
      <c r="B13" s="16" t="s">
        <v>39</v>
      </c>
      <c r="C13" s="1"/>
      <c r="D13" s="310" t="str">
        <f>+'SHEET-5'!D13:E13</f>
        <v>July-2020 to Sept-2020</v>
      </c>
      <c r="E13" s="310"/>
      <c r="F13" s="310" t="str">
        <f>+'SHEET-5'!F13:G13</f>
        <v>July-2019 to Sept-2019</v>
      </c>
      <c r="G13" s="310"/>
      <c r="H13" s="352"/>
      <c r="I13" s="354"/>
      <c r="J13" s="5"/>
    </row>
    <row r="14" spans="1:10" ht="23.25">
      <c r="A14" s="127">
        <v>1</v>
      </c>
      <c r="B14" s="128" t="s">
        <v>4</v>
      </c>
      <c r="C14" s="129" t="s">
        <v>35</v>
      </c>
      <c r="D14" s="238">
        <v>93.60382672155167</v>
      </c>
      <c r="E14" s="232">
        <v>89.914431621800134</v>
      </c>
      <c r="F14" s="238">
        <v>84.125</v>
      </c>
      <c r="G14" s="238">
        <v>85.655000000000001</v>
      </c>
      <c r="H14" s="146">
        <f>(D14-F14)/F14</f>
        <v>0.11267550337654288</v>
      </c>
      <c r="I14" s="147">
        <f>(E14-G14)/G14</f>
        <v>4.972776395773898E-2</v>
      </c>
      <c r="J14" s="5"/>
    </row>
    <row r="15" spans="1:10" ht="23.25">
      <c r="A15" s="13">
        <v>2</v>
      </c>
      <c r="B15" s="14" t="s">
        <v>82</v>
      </c>
      <c r="C15" s="26" t="s">
        <v>35</v>
      </c>
      <c r="D15" s="236">
        <v>0</v>
      </c>
      <c r="E15" s="232">
        <f t="shared" ref="E15:E16" si="0">D15</f>
        <v>0</v>
      </c>
      <c r="F15" s="236">
        <v>0</v>
      </c>
      <c r="G15" s="236">
        <v>0</v>
      </c>
      <c r="H15" s="196" t="e">
        <f t="shared" ref="H15:H18" si="1">(D15-F15)/F15</f>
        <v>#DIV/0!</v>
      </c>
      <c r="I15" s="197" t="e">
        <f t="shared" ref="I15:I25" si="2">(E15-G15)/G15</f>
        <v>#DIV/0!</v>
      </c>
      <c r="J15" s="5"/>
    </row>
    <row r="16" spans="1:10" ht="23.25">
      <c r="A16" s="13">
        <v>3</v>
      </c>
      <c r="B16" s="14" t="s">
        <v>7</v>
      </c>
      <c r="C16" s="26" t="s">
        <v>35</v>
      </c>
      <c r="D16" s="236">
        <v>0</v>
      </c>
      <c r="E16" s="232">
        <f t="shared" si="0"/>
        <v>0</v>
      </c>
      <c r="F16" s="236">
        <v>0</v>
      </c>
      <c r="G16" s="236">
        <v>0</v>
      </c>
      <c r="H16" s="146">
        <v>0</v>
      </c>
      <c r="I16" s="143">
        <v>0</v>
      </c>
      <c r="J16" s="5"/>
    </row>
    <row r="17" spans="1:16" ht="23.25">
      <c r="A17" s="13">
        <v>4</v>
      </c>
      <c r="B17" s="14" t="s">
        <v>8</v>
      </c>
      <c r="C17" s="26" t="s">
        <v>35</v>
      </c>
      <c r="D17" s="236">
        <f>SUM(D14:D16)</f>
        <v>93.60382672155167</v>
      </c>
      <c r="E17" s="232">
        <f>SUM(E14:E16)</f>
        <v>89.914431621800134</v>
      </c>
      <c r="F17" s="236">
        <v>84.125</v>
      </c>
      <c r="G17" s="236">
        <v>85.655000000000001</v>
      </c>
      <c r="H17" s="146">
        <f t="shared" si="1"/>
        <v>0.11267550337654288</v>
      </c>
      <c r="I17" s="143">
        <f t="shared" si="2"/>
        <v>4.972776395773898E-2</v>
      </c>
      <c r="J17" s="5"/>
    </row>
    <row r="18" spans="1:16" ht="23.25">
      <c r="A18" s="13">
        <v>5</v>
      </c>
      <c r="B18" s="14" t="s">
        <v>2</v>
      </c>
      <c r="C18" s="26" t="s">
        <v>35</v>
      </c>
      <c r="D18" s="225">
        <v>14.32658394598921</v>
      </c>
      <c r="E18" s="232">
        <v>15.359077418307459</v>
      </c>
      <c r="F18" s="225">
        <v>14.673999999999999</v>
      </c>
      <c r="G18" s="225">
        <v>16.678999999999998</v>
      </c>
      <c r="H18" s="146">
        <f t="shared" si="1"/>
        <v>-2.367562041779948E-2</v>
      </c>
      <c r="I18" s="143">
        <f t="shared" si="2"/>
        <v>-7.9136793674233444E-2</v>
      </c>
      <c r="J18" s="5"/>
    </row>
    <row r="19" spans="1:16" ht="18" customHeight="1">
      <c r="A19" s="13">
        <v>6</v>
      </c>
      <c r="B19" s="14" t="s">
        <v>3</v>
      </c>
      <c r="C19" s="26" t="s">
        <v>35</v>
      </c>
      <c r="D19" s="345">
        <v>77.896286619902526</v>
      </c>
      <c r="E19" s="346">
        <v>80.102781654040797</v>
      </c>
      <c r="F19" s="226">
        <v>72.078000000000003</v>
      </c>
      <c r="G19" s="226">
        <v>74.816000000000003</v>
      </c>
      <c r="H19" s="357">
        <f t="shared" ref="H19" si="3">(D19-F19)/F19</f>
        <v>8.0722087459453959E-2</v>
      </c>
      <c r="I19" s="356">
        <f t="shared" si="2"/>
        <v>7.0663783870305738E-2</v>
      </c>
      <c r="J19" s="5"/>
    </row>
    <row r="20" spans="1:16" ht="18" customHeight="1">
      <c r="A20" s="13">
        <v>7</v>
      </c>
      <c r="B20" s="14" t="s">
        <v>1</v>
      </c>
      <c r="C20" s="26" t="s">
        <v>35</v>
      </c>
      <c r="D20" s="345"/>
      <c r="E20" s="346"/>
      <c r="F20" s="227"/>
      <c r="G20" s="227"/>
      <c r="H20" s="357"/>
      <c r="I20" s="356"/>
      <c r="J20" s="5"/>
      <c r="P20" s="2"/>
    </row>
    <row r="21" spans="1:16" ht="23.25">
      <c r="A21" s="13">
        <v>8</v>
      </c>
      <c r="B21" s="14" t="s">
        <v>9</v>
      </c>
      <c r="C21" s="26" t="s">
        <v>35</v>
      </c>
      <c r="D21" s="225">
        <v>3.3707749480844771</v>
      </c>
      <c r="E21" s="232">
        <v>3.4931232476319041</v>
      </c>
      <c r="F21" s="225">
        <v>3.202</v>
      </c>
      <c r="G21" s="225">
        <v>3.2789999999999999</v>
      </c>
      <c r="H21" s="146">
        <f t="shared" ref="H21:H25" si="4">(D21-F21)/F21</f>
        <v>5.2709228008893542E-2</v>
      </c>
      <c r="I21" s="143">
        <f t="shared" si="2"/>
        <v>6.5301386895975658E-2</v>
      </c>
      <c r="J21" s="5"/>
    </row>
    <row r="22" spans="1:16" ht="23.25">
      <c r="A22" s="13">
        <v>9</v>
      </c>
      <c r="B22" s="14" t="s">
        <v>10</v>
      </c>
      <c r="C22" s="26" t="s">
        <v>35</v>
      </c>
      <c r="D22" s="236">
        <v>30.316407916420019</v>
      </c>
      <c r="E22" s="232">
        <v>32.844341400980227</v>
      </c>
      <c r="F22" s="236">
        <v>32.194000000000003</v>
      </c>
      <c r="G22" s="236">
        <v>35.204999999999998</v>
      </c>
      <c r="H22" s="146">
        <f t="shared" si="4"/>
        <v>-5.8321180455363844E-2</v>
      </c>
      <c r="I22" s="143">
        <f t="shared" si="2"/>
        <v>-6.7054639938070495E-2</v>
      </c>
      <c r="J22" s="5"/>
    </row>
    <row r="23" spans="1:16" ht="23.25">
      <c r="A23" s="13">
        <v>10</v>
      </c>
      <c r="B23" s="14" t="s">
        <v>5</v>
      </c>
      <c r="C23" s="26" t="s">
        <v>35</v>
      </c>
      <c r="D23" s="225">
        <v>37.431406489845514</v>
      </c>
      <c r="E23" s="232">
        <v>32.551540451330865</v>
      </c>
      <c r="F23" s="225">
        <v>45.899000000000001</v>
      </c>
      <c r="G23" s="225">
        <v>31.119</v>
      </c>
      <c r="H23" s="146">
        <f t="shared" si="4"/>
        <v>-0.18448318068268343</v>
      </c>
      <c r="I23" s="143">
        <f t="shared" si="2"/>
        <v>4.6034270102858883E-2</v>
      </c>
      <c r="J23" s="5"/>
    </row>
    <row r="24" spans="1:16" ht="23.25">
      <c r="A24" s="13">
        <v>11</v>
      </c>
      <c r="B24" s="14" t="s">
        <v>11</v>
      </c>
      <c r="C24" s="26" t="s">
        <v>35</v>
      </c>
      <c r="D24" s="236">
        <v>31.175488348637696</v>
      </c>
      <c r="E24" s="232">
        <v>32.803090240225636</v>
      </c>
      <c r="F24" s="236">
        <v>33.411000000000001</v>
      </c>
      <c r="G24" s="236">
        <v>34.637</v>
      </c>
      <c r="H24" s="146">
        <f t="shared" si="4"/>
        <v>-6.6909450521154865E-2</v>
      </c>
      <c r="I24" s="143">
        <f t="shared" si="2"/>
        <v>-5.2946553101433855E-2</v>
      </c>
      <c r="J24" s="5"/>
    </row>
    <row r="25" spans="1:16" ht="24" thickBot="1">
      <c r="A25" s="15">
        <v>12</v>
      </c>
      <c r="B25" s="16" t="s">
        <v>12</v>
      </c>
      <c r="C25" s="27" t="s">
        <v>35</v>
      </c>
      <c r="D25" s="223">
        <v>55.761025642123961</v>
      </c>
      <c r="E25" s="232">
        <v>57.424128334370614</v>
      </c>
      <c r="F25" s="223">
        <v>57.8</v>
      </c>
      <c r="G25" s="223">
        <v>59.35</v>
      </c>
      <c r="H25" s="146">
        <f t="shared" si="4"/>
        <v>-3.5276372973633841E-2</v>
      </c>
      <c r="I25" s="142">
        <f t="shared" si="2"/>
        <v>-3.2449396219534743E-2</v>
      </c>
      <c r="J25" s="5"/>
    </row>
    <row r="26" spans="1:16" ht="8.25" customHeight="1">
      <c r="A26" s="6"/>
      <c r="B26" s="7"/>
      <c r="C26" s="8"/>
      <c r="D26" s="209"/>
      <c r="E26" s="209"/>
      <c r="F26" s="209"/>
      <c r="G26" s="209"/>
      <c r="H26" s="10"/>
      <c r="I26" s="11"/>
      <c r="J26" s="5"/>
    </row>
    <row r="27" spans="1:16" ht="27" customHeight="1">
      <c r="A27" s="3" t="s">
        <v>6</v>
      </c>
      <c r="B27" s="9" t="s">
        <v>103</v>
      </c>
      <c r="C27" s="8"/>
      <c r="D27" s="209"/>
      <c r="E27" s="209"/>
      <c r="F27" s="209"/>
      <c r="G27" s="209"/>
      <c r="H27" s="10"/>
      <c r="I27" s="11"/>
      <c r="J27" s="5"/>
    </row>
    <row r="28" spans="1:16" ht="9" customHeight="1" thickBot="1">
      <c r="A28" s="6"/>
      <c r="B28" s="7"/>
      <c r="C28" s="8"/>
      <c r="D28" s="209"/>
      <c r="E28" s="209"/>
      <c r="F28" s="209"/>
      <c r="G28" s="209"/>
      <c r="H28" s="10"/>
      <c r="I28" s="145"/>
      <c r="J28" s="5"/>
    </row>
    <row r="29" spans="1:16" ht="23.25">
      <c r="A29" s="12">
        <v>1</v>
      </c>
      <c r="B29" s="17" t="s">
        <v>4</v>
      </c>
      <c r="C29" s="4" t="s">
        <v>35</v>
      </c>
      <c r="D29" s="188">
        <v>418.67696643279209</v>
      </c>
      <c r="E29" s="232">
        <v>419.21019819751046</v>
      </c>
      <c r="F29" s="240">
        <v>417.75</v>
      </c>
      <c r="G29" s="240">
        <v>417.52</v>
      </c>
      <c r="H29" s="139">
        <f>(D29-F29)/F29</f>
        <v>2.2189501682635189E-3</v>
      </c>
      <c r="I29" s="140">
        <f>(E29-G29)/G29</f>
        <v>4.0481849911632572E-3</v>
      </c>
      <c r="J29" s="5"/>
    </row>
    <row r="30" spans="1:16" ht="23.25">
      <c r="A30" s="13">
        <v>2</v>
      </c>
      <c r="B30" s="14" t="s">
        <v>82</v>
      </c>
      <c r="C30" s="26" t="s">
        <v>35</v>
      </c>
      <c r="D30" s="236">
        <v>0</v>
      </c>
      <c r="E30" s="232">
        <f t="shared" ref="E30:E31" si="5">D30</f>
        <v>0</v>
      </c>
      <c r="F30" s="240">
        <v>0</v>
      </c>
      <c r="G30" s="240">
        <v>0</v>
      </c>
      <c r="H30" s="193" t="e">
        <f t="shared" ref="H30:H40" si="6">(D30-F30)/F30</f>
        <v>#DIV/0!</v>
      </c>
      <c r="I30" s="197" t="e">
        <f t="shared" ref="I30:I40" si="7">(E30-G30)/G30</f>
        <v>#DIV/0!</v>
      </c>
      <c r="J30" s="5"/>
    </row>
    <row r="31" spans="1:16" ht="23.25">
      <c r="A31" s="13">
        <v>3</v>
      </c>
      <c r="B31" s="14" t="s">
        <v>7</v>
      </c>
      <c r="C31" s="26" t="s">
        <v>35</v>
      </c>
      <c r="D31" s="236">
        <v>0</v>
      </c>
      <c r="E31" s="232">
        <f t="shared" si="5"/>
        <v>0</v>
      </c>
      <c r="F31" s="240">
        <v>0</v>
      </c>
      <c r="G31" s="240">
        <v>0</v>
      </c>
      <c r="H31" s="144">
        <v>0</v>
      </c>
      <c r="I31" s="143">
        <v>0</v>
      </c>
      <c r="J31" s="5"/>
    </row>
    <row r="32" spans="1:16" ht="23.25">
      <c r="A32" s="13">
        <v>4</v>
      </c>
      <c r="B32" s="14" t="s">
        <v>8</v>
      </c>
      <c r="C32" s="26" t="s">
        <v>35</v>
      </c>
      <c r="D32" s="236">
        <f>SUM(D29:D31)</f>
        <v>418.67696643279209</v>
      </c>
      <c r="E32" s="232">
        <f>SUM(E29:E31)</f>
        <v>419.21019819751046</v>
      </c>
      <c r="F32" s="240">
        <v>417.75</v>
      </c>
      <c r="G32" s="240">
        <v>417.52</v>
      </c>
      <c r="H32" s="144">
        <f t="shared" si="6"/>
        <v>2.2189501682635189E-3</v>
      </c>
      <c r="I32" s="143">
        <f t="shared" si="7"/>
        <v>4.0481849911632572E-3</v>
      </c>
      <c r="J32" s="5"/>
    </row>
    <row r="33" spans="1:10" ht="23.25">
      <c r="A33" s="13">
        <v>5</v>
      </c>
      <c r="B33" s="14" t="s">
        <v>2</v>
      </c>
      <c r="C33" s="26" t="s">
        <v>35</v>
      </c>
      <c r="D33" s="236">
        <v>374.05750893397334</v>
      </c>
      <c r="E33" s="232">
        <v>370.68488973864936</v>
      </c>
      <c r="F33" s="224">
        <v>385.61</v>
      </c>
      <c r="G33" s="224">
        <v>388.78</v>
      </c>
      <c r="H33" s="144">
        <f t="shared" si="6"/>
        <v>-2.9959002790453243E-2</v>
      </c>
      <c r="I33" s="143">
        <f t="shared" si="7"/>
        <v>-4.6543315657571409E-2</v>
      </c>
      <c r="J33" s="5"/>
    </row>
    <row r="34" spans="1:10" ht="18" customHeight="1">
      <c r="A34" s="13">
        <v>6</v>
      </c>
      <c r="B34" s="14" t="s">
        <v>3</v>
      </c>
      <c r="C34" s="26" t="s">
        <v>35</v>
      </c>
      <c r="D34" s="347">
        <v>458.4269869264615</v>
      </c>
      <c r="E34" s="346">
        <v>461.10285750151468</v>
      </c>
      <c r="F34" s="234">
        <v>464.8</v>
      </c>
      <c r="G34" s="234">
        <v>468.75</v>
      </c>
      <c r="H34" s="357">
        <f t="shared" si="6"/>
        <v>-1.3711301793327272E-2</v>
      </c>
      <c r="I34" s="356">
        <f t="shared" si="7"/>
        <v>-1.631390399676869E-2</v>
      </c>
      <c r="J34" s="5"/>
    </row>
    <row r="35" spans="1:10" ht="18" customHeight="1">
      <c r="A35" s="13">
        <v>7</v>
      </c>
      <c r="B35" s="14" t="s">
        <v>1</v>
      </c>
      <c r="C35" s="26" t="s">
        <v>35</v>
      </c>
      <c r="D35" s="348"/>
      <c r="E35" s="346" t="e">
        <v>#DIV/0!</v>
      </c>
      <c r="F35" s="235"/>
      <c r="G35" s="235"/>
      <c r="H35" s="357"/>
      <c r="I35" s="356"/>
      <c r="J35" s="5"/>
    </row>
    <row r="36" spans="1:10" ht="23.25">
      <c r="A36" s="13">
        <v>8</v>
      </c>
      <c r="B36" s="14" t="s">
        <v>9</v>
      </c>
      <c r="C36" s="26" t="s">
        <v>35</v>
      </c>
      <c r="D36" s="236">
        <v>339.66771689590314</v>
      </c>
      <c r="E36" s="232">
        <v>344.81292424766377</v>
      </c>
      <c r="F36" s="224">
        <v>351.26</v>
      </c>
      <c r="G36" s="224">
        <v>356.81</v>
      </c>
      <c r="H36" s="144">
        <f t="shared" si="6"/>
        <v>-3.3002001662861845E-2</v>
      </c>
      <c r="I36" s="143">
        <f t="shared" si="7"/>
        <v>-3.362314888129881E-2</v>
      </c>
      <c r="J36" s="5"/>
    </row>
    <row r="37" spans="1:10" ht="23.25">
      <c r="A37" s="13">
        <v>9</v>
      </c>
      <c r="B37" s="14" t="s">
        <v>10</v>
      </c>
      <c r="C37" s="26" t="s">
        <v>35</v>
      </c>
      <c r="D37" s="236">
        <v>394.36876102261556</v>
      </c>
      <c r="E37" s="232">
        <v>394.60737898310032</v>
      </c>
      <c r="F37" s="240">
        <v>408.7</v>
      </c>
      <c r="G37" s="240">
        <v>413.42</v>
      </c>
      <c r="H37" s="144">
        <f t="shared" si="6"/>
        <v>-3.5065424461425083E-2</v>
      </c>
      <c r="I37" s="143">
        <f t="shared" si="7"/>
        <v>-4.5504864343524014E-2</v>
      </c>
      <c r="J37" s="5"/>
    </row>
    <row r="38" spans="1:10" ht="23.25">
      <c r="A38" s="13">
        <v>10</v>
      </c>
      <c r="B38" s="14" t="s">
        <v>223</v>
      </c>
      <c r="C38" s="26" t="s">
        <v>35</v>
      </c>
      <c r="D38" s="236">
        <v>74.35060983589004</v>
      </c>
      <c r="E38" s="232">
        <v>83.154343254461679</v>
      </c>
      <c r="F38" s="224">
        <v>89.78</v>
      </c>
      <c r="G38" s="224">
        <v>88.9</v>
      </c>
      <c r="H38" s="144">
        <f t="shared" si="6"/>
        <v>-0.17185776524960972</v>
      </c>
      <c r="I38" s="143">
        <f t="shared" si="7"/>
        <v>-6.4630559567360246E-2</v>
      </c>
      <c r="J38" s="5"/>
    </row>
    <row r="39" spans="1:10" ht="23.25">
      <c r="A39" s="13">
        <v>11</v>
      </c>
      <c r="B39" s="14" t="s">
        <v>11</v>
      </c>
      <c r="C39" s="26" t="s">
        <v>35</v>
      </c>
      <c r="D39" s="236">
        <v>355.72907208918059</v>
      </c>
      <c r="E39" s="232">
        <v>350.72842551750438</v>
      </c>
      <c r="F39" s="240">
        <v>380.37</v>
      </c>
      <c r="G39" s="240">
        <v>368.31</v>
      </c>
      <c r="H39" s="144">
        <f t="shared" si="6"/>
        <v>-6.4781470438834324E-2</v>
      </c>
      <c r="I39" s="143">
        <f t="shared" si="7"/>
        <v>-4.7735805388112257E-2</v>
      </c>
      <c r="J39" s="5"/>
    </row>
    <row r="40" spans="1:10" ht="24" thickBot="1">
      <c r="A40" s="15"/>
      <c r="B40" s="16" t="s">
        <v>12</v>
      </c>
      <c r="C40" s="27" t="s">
        <v>35</v>
      </c>
      <c r="D40" s="223">
        <v>380.51922099057691</v>
      </c>
      <c r="E40" s="232">
        <v>380.25132400177949</v>
      </c>
      <c r="F40" s="240">
        <v>398.35</v>
      </c>
      <c r="G40" s="240">
        <v>392.14</v>
      </c>
      <c r="H40" s="141">
        <f t="shared" si="6"/>
        <v>-4.4761589078506615E-2</v>
      </c>
      <c r="I40" s="142">
        <f t="shared" si="7"/>
        <v>-3.0317427444842383E-2</v>
      </c>
      <c r="J40" s="5"/>
    </row>
    <row r="41" spans="1:10" ht="15.75" customHeight="1">
      <c r="A41" s="6"/>
      <c r="B41" s="7"/>
      <c r="C41" s="8"/>
      <c r="D41" s="117"/>
      <c r="E41" s="117"/>
      <c r="F41" s="23"/>
      <c r="G41" s="23"/>
      <c r="H41" s="10"/>
      <c r="I41" s="11"/>
      <c r="J41" s="5"/>
    </row>
    <row r="42" spans="1:10" ht="20.25">
      <c r="A42" s="3" t="s">
        <v>45</v>
      </c>
      <c r="B42" s="9" t="s">
        <v>36</v>
      </c>
      <c r="C42" s="8"/>
      <c r="D42" s="117"/>
      <c r="E42" s="117"/>
      <c r="F42" s="23"/>
      <c r="G42" s="23"/>
      <c r="H42" s="10"/>
      <c r="I42" s="11"/>
      <c r="J42" s="5"/>
    </row>
    <row r="43" spans="1:10" ht="12" customHeight="1" thickBot="1">
      <c r="A43" s="6"/>
      <c r="B43" s="7"/>
      <c r="C43" s="8"/>
      <c r="D43" s="117"/>
      <c r="E43" s="117"/>
      <c r="F43" s="23"/>
      <c r="G43" s="23"/>
      <c r="H43" s="10"/>
      <c r="I43" s="11"/>
      <c r="J43" s="5"/>
    </row>
    <row r="44" spans="1:10" ht="23.25">
      <c r="A44" s="12">
        <v>1</v>
      </c>
      <c r="B44" s="17" t="s">
        <v>4</v>
      </c>
      <c r="C44" s="4" t="s">
        <v>37</v>
      </c>
      <c r="D44" s="210">
        <f>'SHEET-4'!D29/'SHEET-4'!D14*10^6</f>
        <v>329416.98034295277</v>
      </c>
      <c r="E44" s="210">
        <f>'SHEET-4'!E29/'SHEET-4'!E14*10^6</f>
        <v>613286.49100794643</v>
      </c>
      <c r="F44" s="45">
        <f>'SHEET-4'!F29/'SHEET-4'!F14*10^6</f>
        <v>438890.15591043216</v>
      </c>
      <c r="G44" s="45">
        <f>'SHEET-4'!G29/'SHEET-4'!G14*10^6</f>
        <v>897496.13656126766</v>
      </c>
      <c r="H44" s="139">
        <f>(D44-F44)/F44</f>
        <v>-0.24943183184500603</v>
      </c>
      <c r="I44" s="140">
        <f>(E44-G44)/G44</f>
        <v>-0.31666949190696558</v>
      </c>
      <c r="J44" s="5"/>
    </row>
    <row r="45" spans="1:10" ht="23.25">
      <c r="A45" s="13">
        <v>2</v>
      </c>
      <c r="B45" s="14" t="s">
        <v>82</v>
      </c>
      <c r="C45" s="26" t="s">
        <v>37</v>
      </c>
      <c r="D45" s="211">
        <v>0</v>
      </c>
      <c r="E45" s="212">
        <v>0</v>
      </c>
      <c r="F45" s="46">
        <v>0</v>
      </c>
      <c r="G45" s="216">
        <v>0</v>
      </c>
      <c r="H45" s="193" t="e">
        <f t="shared" ref="H45:H55" si="8">(D45-F45)/F45</f>
        <v>#DIV/0!</v>
      </c>
      <c r="I45" s="197" t="e">
        <f t="shared" ref="I45:I54" si="9">(E45-G45)/G45</f>
        <v>#DIV/0!</v>
      </c>
      <c r="J45" s="5"/>
    </row>
    <row r="46" spans="1:10" ht="24" thickBot="1">
      <c r="A46" s="13">
        <v>3</v>
      </c>
      <c r="B46" s="14" t="s">
        <v>7</v>
      </c>
      <c r="C46" s="26" t="s">
        <v>37</v>
      </c>
      <c r="D46" s="213">
        <v>0</v>
      </c>
      <c r="E46" s="113">
        <f t="shared" ref="E46" si="10">D46</f>
        <v>0</v>
      </c>
      <c r="F46" s="46">
        <v>0</v>
      </c>
      <c r="G46" s="216">
        <v>0</v>
      </c>
      <c r="H46" s="52">
        <v>0</v>
      </c>
      <c r="I46" s="93">
        <v>0</v>
      </c>
      <c r="J46" s="5"/>
    </row>
    <row r="47" spans="1:10" ht="24" thickBot="1">
      <c r="A47" s="13">
        <v>4</v>
      </c>
      <c r="B47" s="14" t="s">
        <v>8</v>
      </c>
      <c r="C47" s="26" t="s">
        <v>37</v>
      </c>
      <c r="D47" s="210">
        <f>'SHEET-4'!D32/'SHEET-4'!D17*10^6</f>
        <v>329416.98034295277</v>
      </c>
      <c r="E47" s="210">
        <f>'SHEET-4'!E32/'SHEET-4'!E17*10^6</f>
        <v>613286.49100794643</v>
      </c>
      <c r="F47" s="46">
        <f>'SHEET-4'!F32/'SHEET-4'!F17*10^6</f>
        <v>438890.15591043216</v>
      </c>
      <c r="G47" s="216">
        <f>'SHEET-4'!G32/'SHEET-4'!G17*10^6</f>
        <v>897496.13656126766</v>
      </c>
      <c r="H47" s="52">
        <f t="shared" si="8"/>
        <v>-0.24943183184500603</v>
      </c>
      <c r="I47" s="93">
        <f t="shared" si="9"/>
        <v>-0.31666949190696558</v>
      </c>
      <c r="J47" s="5"/>
    </row>
    <row r="48" spans="1:10" ht="23.25">
      <c r="A48" s="13">
        <v>5</v>
      </c>
      <c r="B48" s="14" t="s">
        <v>2</v>
      </c>
      <c r="C48" s="26" t="s">
        <v>37</v>
      </c>
      <c r="D48" s="210">
        <f>'SHEET-4'!D33/'SHEET-4'!D18*10^6</f>
        <v>300.907220255369</v>
      </c>
      <c r="E48" s="210">
        <f>'SHEET-4'!E33/'SHEET-4'!E18*10^6</f>
        <v>671.80593899796884</v>
      </c>
      <c r="F48" s="46">
        <f>'SHEET-4'!F33/'SHEET-4'!F18*10^6</f>
        <v>302.71016392508318</v>
      </c>
      <c r="G48" s="216">
        <f>'SHEET-4'!G33/'SHEET-4'!G18*10^6</f>
        <v>628.08190029962384</v>
      </c>
      <c r="H48" s="52">
        <f t="shared" si="8"/>
        <v>-5.9560063868895627E-3</v>
      </c>
      <c r="I48" s="93">
        <f t="shared" si="9"/>
        <v>6.9615186614176636E-2</v>
      </c>
      <c r="J48" s="5"/>
    </row>
    <row r="49" spans="1:10" ht="18" customHeight="1">
      <c r="A49" s="13">
        <v>6</v>
      </c>
      <c r="B49" s="14" t="s">
        <v>3</v>
      </c>
      <c r="C49" s="26" t="s">
        <v>37</v>
      </c>
      <c r="D49" s="355">
        <f>'SHEET-4'!D34/'SHEET-4'!D19*10^6</f>
        <v>1231.061291882967</v>
      </c>
      <c r="E49" s="355">
        <f>'SHEET-4'!E34/'SHEET-4'!E19*10^6</f>
        <v>2056.6114217306358</v>
      </c>
      <c r="F49" s="355">
        <f>'SHEET-4'!F34/'SHEET-4'!F19*10^6</f>
        <v>1199.085289210869</v>
      </c>
      <c r="G49" s="355">
        <f>'SHEET-4'!G34/'SHEET-4'!G19*10^6</f>
        <v>2665.953447448408</v>
      </c>
      <c r="H49" s="357">
        <f t="shared" si="8"/>
        <v>2.666699605091628E-2</v>
      </c>
      <c r="I49" s="356">
        <f t="shared" si="9"/>
        <v>-0.22856439083772273</v>
      </c>
      <c r="J49" s="5"/>
    </row>
    <row r="50" spans="1:10" ht="18" customHeight="1" thickBot="1">
      <c r="A50" s="13">
        <v>7</v>
      </c>
      <c r="B50" s="14" t="s">
        <v>1</v>
      </c>
      <c r="C50" s="26" t="s">
        <v>37</v>
      </c>
      <c r="D50" s="355"/>
      <c r="E50" s="355"/>
      <c r="F50" s="355"/>
      <c r="G50" s="355"/>
      <c r="H50" s="357"/>
      <c r="I50" s="356"/>
      <c r="J50" s="5"/>
    </row>
    <row r="51" spans="1:10" ht="24" thickBot="1">
      <c r="A51" s="13">
        <v>8</v>
      </c>
      <c r="B51" s="14" t="s">
        <v>9</v>
      </c>
      <c r="C51" s="26" t="s">
        <v>37</v>
      </c>
      <c r="D51" s="210">
        <f>'SHEET-4'!D36/'SHEET-4'!D21*10^6</f>
        <v>3491.523351536393</v>
      </c>
      <c r="E51" s="210">
        <f>'SHEET-4'!E36/'SHEET-4'!E21*10^6</f>
        <v>6931.5347624093247</v>
      </c>
      <c r="F51" s="46">
        <f>'SHEET-4'!F36/'SHEET-4'!F21*10^6</f>
        <v>2951.8206392113216</v>
      </c>
      <c r="G51" s="216">
        <f>'SHEET-4'!G36/'SHEET-4'!G21*10^6</f>
        <v>6392.7174431547146</v>
      </c>
      <c r="H51" s="52">
        <f t="shared" si="8"/>
        <v>0.18283723108232997</v>
      </c>
      <c r="I51" s="93">
        <f t="shared" si="9"/>
        <v>8.4286115262543412E-2</v>
      </c>
      <c r="J51" s="5"/>
    </row>
    <row r="52" spans="1:10" ht="24" thickBot="1">
      <c r="A52" s="13">
        <v>9</v>
      </c>
      <c r="B52" s="14" t="s">
        <v>10</v>
      </c>
      <c r="C52" s="26" t="s">
        <v>37</v>
      </c>
      <c r="D52" s="210">
        <f>'SHEET-4'!D37/'SHEET-4'!D22*10^6</f>
        <v>436.57836622616531</v>
      </c>
      <c r="E52" s="210">
        <f>'SHEET-4'!E37/'SHEET-4'!E22*10^6</f>
        <v>885.68682538759947</v>
      </c>
      <c r="F52" s="46">
        <f>'SHEET-4'!F37/'SHEET-4'!F22*10^6</f>
        <v>432.96478314666297</v>
      </c>
      <c r="G52" s="216">
        <f>'SHEET-4'!G37/'SHEET-4'!G22*10^6</f>
        <v>921.5490498315246</v>
      </c>
      <c r="H52" s="52">
        <f t="shared" si="8"/>
        <v>8.346136268266139E-3</v>
      </c>
      <c r="I52" s="93">
        <f t="shared" si="9"/>
        <v>-3.8915155357689725E-2</v>
      </c>
      <c r="J52" s="5"/>
    </row>
    <row r="53" spans="1:10" ht="24" thickBot="1">
      <c r="A53" s="13">
        <v>10</v>
      </c>
      <c r="B53" s="14" t="s">
        <v>5</v>
      </c>
      <c r="C53" s="26" t="s">
        <v>37</v>
      </c>
      <c r="D53" s="210">
        <f>'SHEET-4'!D38/'SHEET-4'!D23*10^6</f>
        <v>1108.2037696516984</v>
      </c>
      <c r="E53" s="210">
        <f>'SHEET-4'!E38/'SHEET-4'!E23*10^6</f>
        <v>3232.0203248501698</v>
      </c>
      <c r="F53" s="46">
        <f>'SHEET-4'!F38/'SHEET-4'!F23*10^6</f>
        <v>1047.0304228957009</v>
      </c>
      <c r="G53" s="216">
        <f>'SHEET-4'!G38/'SHEET-4'!G23*10^6</f>
        <v>3097.8128090279797</v>
      </c>
      <c r="H53" s="52">
        <f t="shared" si="8"/>
        <v>5.8425567603675288E-2</v>
      </c>
      <c r="I53" s="93">
        <f t="shared" si="9"/>
        <v>4.3323313607287084E-2</v>
      </c>
      <c r="J53" s="5"/>
    </row>
    <row r="54" spans="1:10" ht="24" thickBot="1">
      <c r="A54" s="13">
        <v>11</v>
      </c>
      <c r="B54" s="14" t="s">
        <v>11</v>
      </c>
      <c r="C54" s="26" t="s">
        <v>37</v>
      </c>
      <c r="D54" s="210">
        <f>'SHEET-4'!D39/'SHEET-4'!D24*10^6</f>
        <v>474.08810145556322</v>
      </c>
      <c r="E54" s="210">
        <f>'SHEET-4'!E39/'SHEET-4'!E24*10^6</f>
        <v>1016.7276524257416</v>
      </c>
      <c r="F54" s="46">
        <f>'SHEET-4'!F39/'SHEET-4'!F24*10^6</f>
        <v>465.74434561681659</v>
      </c>
      <c r="G54" s="216">
        <f>'SHEET-4'!G39/'SHEET-4'!G24*10^6</f>
        <v>1037.7206269861529</v>
      </c>
      <c r="H54" s="52">
        <f t="shared" si="8"/>
        <v>1.7914883813986905E-2</v>
      </c>
      <c r="I54" s="93">
        <f t="shared" si="9"/>
        <v>-2.0229890410274592E-2</v>
      </c>
      <c r="J54" s="5"/>
    </row>
    <row r="55" spans="1:10" ht="24" thickBot="1">
      <c r="A55" s="15"/>
      <c r="B55" s="16" t="s">
        <v>12</v>
      </c>
      <c r="C55" s="27" t="s">
        <v>37</v>
      </c>
      <c r="D55" s="210">
        <f>'SHEET-4'!D40/'SHEET-4'!D25*10^6</f>
        <v>712.37148945890897</v>
      </c>
      <c r="E55" s="210">
        <f>'SHEET-4'!E40/'SHEET-4'!E25*10^6</f>
        <v>1460.2505769984687</v>
      </c>
      <c r="F55" s="126">
        <f>'SHEET-4'!F40/'SHEET-4'!F25*10^6</f>
        <v>775.10554875182845</v>
      </c>
      <c r="G55" s="126">
        <f>'SHEET-4'!G40/'SHEET-4'!G25*10^6</f>
        <v>1670.2799617277965</v>
      </c>
      <c r="H55" s="141">
        <f t="shared" si="8"/>
        <v>-8.0936150430017798E-2</v>
      </c>
      <c r="I55" s="142">
        <f>(E55-G55)/G55</f>
        <v>-0.12574501852495795</v>
      </c>
      <c r="J55" s="5"/>
    </row>
    <row r="56" spans="1:10" ht="23.25">
      <c r="A56" s="8"/>
      <c r="B56" s="8"/>
      <c r="C56" s="8"/>
      <c r="D56" s="25"/>
      <c r="E56" s="25"/>
      <c r="F56" s="25"/>
      <c r="G56" s="47"/>
      <c r="H56" s="8"/>
      <c r="I56" s="8"/>
      <c r="J56" s="5"/>
    </row>
    <row r="57" spans="1:10">
      <c r="A57" s="5"/>
      <c r="B57" s="5"/>
      <c r="C57" s="5"/>
      <c r="D57" s="5"/>
      <c r="E57" s="5"/>
      <c r="F57" s="5"/>
      <c r="G57" s="5"/>
      <c r="H57" s="5"/>
      <c r="I57" s="5"/>
      <c r="J57" s="5"/>
    </row>
    <row r="58" spans="1:10" ht="12.75" customHeight="1">
      <c r="A58" s="313"/>
      <c r="B58" s="313"/>
      <c r="C58" s="5"/>
      <c r="D58" s="5"/>
      <c r="E58" s="5"/>
      <c r="F58" s="5"/>
      <c r="G58" s="5"/>
      <c r="H58" s="5"/>
      <c r="I58" s="5"/>
      <c r="J58" s="5"/>
    </row>
    <row r="59" spans="1:10">
      <c r="A59" s="5"/>
      <c r="B59" s="5"/>
      <c r="C59" s="5"/>
      <c r="D59" s="5"/>
      <c r="E59" s="5"/>
      <c r="F59" s="5"/>
      <c r="G59" s="5"/>
      <c r="H59" s="5"/>
      <c r="I59" s="5"/>
      <c r="J59" s="5"/>
    </row>
    <row r="60" spans="1:10">
      <c r="A60" s="5"/>
      <c r="B60" s="5"/>
      <c r="C60" s="5"/>
      <c r="D60" s="5"/>
      <c r="E60" s="5"/>
      <c r="F60" s="5"/>
      <c r="G60" s="5"/>
      <c r="H60" s="5"/>
      <c r="I60" s="5"/>
      <c r="J60" s="5"/>
    </row>
    <row r="61" spans="1:10" ht="26.25">
      <c r="A61" s="5"/>
      <c r="B61" s="5"/>
      <c r="C61" s="5"/>
      <c r="D61" s="19"/>
      <c r="E61" s="5"/>
      <c r="F61" s="5"/>
      <c r="G61" s="5"/>
      <c r="H61" s="5"/>
      <c r="I61" s="5"/>
      <c r="J61" s="5"/>
    </row>
    <row r="62" spans="1:10">
      <c r="A62" s="5"/>
      <c r="B62" s="5"/>
      <c r="C62" s="5"/>
      <c r="D62" s="43"/>
      <c r="E62" s="5"/>
      <c r="F62" s="5"/>
      <c r="G62" s="5"/>
      <c r="H62" s="5"/>
      <c r="I62" s="5"/>
      <c r="J62" s="5"/>
    </row>
    <row r="63" spans="1:10" ht="24" thickBot="1">
      <c r="A63" s="5"/>
      <c r="B63" s="9"/>
      <c r="C63" s="5"/>
      <c r="D63" s="5"/>
      <c r="E63" s="5"/>
      <c r="F63" s="18"/>
      <c r="G63" s="5"/>
      <c r="H63" s="5"/>
      <c r="I63" s="5"/>
      <c r="J63" s="5"/>
    </row>
    <row r="64" spans="1:10" ht="23.25">
      <c r="A64" s="12"/>
      <c r="B64" s="17"/>
      <c r="C64" s="4"/>
      <c r="D64" s="28"/>
      <c r="E64" s="28"/>
      <c r="F64" s="28"/>
      <c r="G64" s="28"/>
      <c r="H64" s="5"/>
      <c r="I64" s="5"/>
      <c r="J64" s="5"/>
    </row>
    <row r="65" spans="1:10" ht="23.25">
      <c r="A65" s="13"/>
      <c r="B65" s="14"/>
      <c r="C65" s="26"/>
      <c r="D65" s="28"/>
      <c r="E65" s="28"/>
      <c r="F65" s="28"/>
      <c r="G65" s="28"/>
      <c r="H65" s="5"/>
      <c r="I65" s="5"/>
      <c r="J65" s="5"/>
    </row>
    <row r="66" spans="1:10" ht="23.25">
      <c r="A66" s="13"/>
      <c r="B66" s="14"/>
      <c r="C66" s="26"/>
      <c r="D66" s="28"/>
      <c r="E66" s="28"/>
      <c r="F66" s="28"/>
      <c r="G66" s="28"/>
      <c r="H66" s="5"/>
      <c r="I66" s="5"/>
      <c r="J66" s="5"/>
    </row>
    <row r="67" spans="1:10" ht="23.25">
      <c r="A67" s="13"/>
      <c r="B67" s="14"/>
      <c r="C67" s="26"/>
      <c r="D67" s="28"/>
      <c r="E67" s="28"/>
      <c r="F67" s="28"/>
      <c r="G67" s="28"/>
      <c r="H67" s="5"/>
      <c r="I67" s="5"/>
      <c r="J67" s="5"/>
    </row>
    <row r="68" spans="1:10" ht="23.25">
      <c r="A68" s="13"/>
      <c r="B68" s="14"/>
      <c r="C68" s="26"/>
      <c r="D68" s="44">
        <f>3.8</f>
        <v>3.8</v>
      </c>
      <c r="E68" s="28"/>
      <c r="F68" s="28"/>
      <c r="G68" s="28"/>
      <c r="H68" s="5"/>
      <c r="I68" s="5"/>
      <c r="J68" s="5"/>
    </row>
    <row r="69" spans="1:10" ht="23.25">
      <c r="A69" s="13"/>
      <c r="B69" s="14"/>
      <c r="C69" s="26"/>
      <c r="D69" s="44">
        <v>4.25</v>
      </c>
      <c r="E69" s="28"/>
      <c r="F69" s="28"/>
      <c r="G69" s="28"/>
    </row>
    <row r="70" spans="1:10" ht="23.25">
      <c r="A70" s="13"/>
      <c r="B70" s="14"/>
      <c r="C70" s="26"/>
      <c r="D70" s="44">
        <v>4.55</v>
      </c>
      <c r="E70" s="28"/>
      <c r="F70" s="28"/>
      <c r="G70" s="28"/>
    </row>
    <row r="71" spans="1:10" ht="23.25">
      <c r="A71" s="13"/>
      <c r="B71" s="14"/>
      <c r="C71" s="26"/>
      <c r="D71" s="44">
        <v>4.5999999999999996</v>
      </c>
      <c r="E71" s="28"/>
      <c r="F71" s="28"/>
      <c r="G71" s="28"/>
    </row>
    <row r="72" spans="1:10" ht="23.25">
      <c r="A72" s="13"/>
      <c r="B72" s="14"/>
      <c r="C72" s="26"/>
      <c r="D72" s="28"/>
      <c r="E72" s="28"/>
      <c r="F72" s="28"/>
      <c r="G72" s="28"/>
    </row>
    <row r="73" spans="1:10" ht="23.25">
      <c r="A73" s="13"/>
      <c r="B73" s="14"/>
      <c r="C73" s="26"/>
      <c r="D73" s="28"/>
      <c r="E73" s="28"/>
      <c r="F73" s="28"/>
      <c r="G73" s="28"/>
    </row>
    <row r="74" spans="1:10" ht="23.25">
      <c r="A74" s="13"/>
      <c r="B74" s="14"/>
      <c r="C74" s="26"/>
      <c r="D74" s="28"/>
      <c r="E74" s="28"/>
      <c r="F74" s="28"/>
      <c r="G74" s="28"/>
    </row>
    <row r="75" spans="1:10" ht="24" thickBot="1">
      <c r="A75" s="15"/>
      <c r="B75" s="16"/>
      <c r="C75" s="27"/>
      <c r="D75" s="28"/>
      <c r="E75" s="28"/>
      <c r="F75" s="28"/>
      <c r="G75" s="28"/>
    </row>
    <row r="76" spans="1:10" ht="23.25">
      <c r="D76" s="29"/>
      <c r="E76" s="29"/>
      <c r="F76" s="29"/>
      <c r="G76" s="29"/>
    </row>
  </sheetData>
  <mergeCells count="25">
    <mergeCell ref="E19:E20"/>
    <mergeCell ref="E34:E35"/>
    <mergeCell ref="G49:G50"/>
    <mergeCell ref="A5:I5"/>
    <mergeCell ref="A9:I9"/>
    <mergeCell ref="A7:I7"/>
    <mergeCell ref="H11:I11"/>
    <mergeCell ref="D11:E11"/>
    <mergeCell ref="F11:G11"/>
    <mergeCell ref="A58:B58"/>
    <mergeCell ref="H12:H13"/>
    <mergeCell ref="I12:I13"/>
    <mergeCell ref="D13:E13"/>
    <mergeCell ref="D49:D50"/>
    <mergeCell ref="I49:I50"/>
    <mergeCell ref="H34:H35"/>
    <mergeCell ref="I34:I35"/>
    <mergeCell ref="D19:D20"/>
    <mergeCell ref="D34:D35"/>
    <mergeCell ref="H19:H20"/>
    <mergeCell ref="I19:I20"/>
    <mergeCell ref="F13:G13"/>
    <mergeCell ref="E49:E50"/>
    <mergeCell ref="H49:H50"/>
    <mergeCell ref="F49:F50"/>
  </mergeCells>
  <phoneticPr fontId="1"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dimension ref="A1:M54"/>
  <sheetViews>
    <sheetView tabSelected="1" view="pageBreakPreview" topLeftCell="A13" zoomScale="60" zoomScaleNormal="60" workbookViewId="0">
      <selection activeCell="D16" sqref="D16"/>
    </sheetView>
  </sheetViews>
  <sheetFormatPr defaultRowHeight="12.75"/>
  <cols>
    <col min="1" max="1" width="8" style="85" customWidth="1"/>
    <col min="2" max="2" width="67" style="85" customWidth="1"/>
    <col min="3" max="3" width="49.5703125" style="85" customWidth="1"/>
    <col min="4" max="4" width="50.42578125" style="85" customWidth="1"/>
    <col min="5" max="5" width="24.7109375" style="85" customWidth="1"/>
    <col min="6" max="10" width="9.140625" style="85"/>
    <col min="11" max="12" width="13" style="85" bestFit="1" customWidth="1"/>
    <col min="13" max="13" width="17.5703125" style="85" bestFit="1" customWidth="1"/>
    <col min="14" max="16384" width="9.140625" style="85"/>
  </cols>
  <sheetData>
    <row r="1" spans="1:7" ht="33">
      <c r="E1" s="86" t="s">
        <v>227</v>
      </c>
    </row>
    <row r="4" spans="1:7" ht="37.5">
      <c r="A4" s="303" t="s">
        <v>0</v>
      </c>
      <c r="B4" s="303"/>
      <c r="C4" s="303"/>
      <c r="D4" s="303"/>
      <c r="E4" s="303"/>
    </row>
    <row r="5" spans="1:7" ht="18" customHeight="1">
      <c r="A5" s="87"/>
      <c r="B5" s="87"/>
      <c r="C5" s="87"/>
    </row>
    <row r="6" spans="1:7" ht="30">
      <c r="A6" s="304" t="s">
        <v>99</v>
      </c>
      <c r="B6" s="304"/>
      <c r="C6" s="304"/>
      <c r="D6" s="304"/>
      <c r="E6" s="304"/>
    </row>
    <row r="7" spans="1:7" ht="18" customHeight="1" thickBot="1"/>
    <row r="8" spans="1:7" ht="18" customHeight="1">
      <c r="A8" s="88"/>
      <c r="B8" s="89"/>
      <c r="C8" s="130" t="s">
        <v>105</v>
      </c>
      <c r="D8" s="130" t="s">
        <v>66</v>
      </c>
      <c r="E8" s="131" t="s">
        <v>17</v>
      </c>
    </row>
    <row r="9" spans="1:7" ht="18" customHeight="1">
      <c r="A9" s="90"/>
      <c r="B9" s="49"/>
      <c r="C9" s="152" t="s">
        <v>238</v>
      </c>
      <c r="D9" s="233" t="s">
        <v>234</v>
      </c>
      <c r="E9" s="30"/>
    </row>
    <row r="10" spans="1:7" ht="20.25">
      <c r="A10" s="90" t="s">
        <v>38</v>
      </c>
      <c r="B10" s="92" t="s">
        <v>84</v>
      </c>
      <c r="C10" s="148" t="s">
        <v>62</v>
      </c>
      <c r="D10" s="153" t="s">
        <v>62</v>
      </c>
      <c r="E10" s="132"/>
    </row>
    <row r="11" spans="1:7" ht="23.25">
      <c r="A11" s="90">
        <v>1</v>
      </c>
      <c r="B11" s="92" t="s">
        <v>85</v>
      </c>
      <c r="C11" s="149">
        <f>304837.08555575/100</f>
        <v>3048.3708555574999</v>
      </c>
      <c r="D11" s="203">
        <f>347848.605128636/100-D12</f>
        <v>3419.18605128636</v>
      </c>
      <c r="E11" s="170">
        <f>(C11-D11)/D11</f>
        <v>-0.10845130688028885</v>
      </c>
    </row>
    <row r="12" spans="1:7" ht="23.25">
      <c r="A12" s="90">
        <v>2</v>
      </c>
      <c r="B12" s="92" t="s">
        <v>86</v>
      </c>
      <c r="C12" s="149">
        <v>56.705775000000003</v>
      </c>
      <c r="D12" s="203">
        <f>56.3+3</f>
        <v>59.3</v>
      </c>
      <c r="E12" s="170">
        <f>(C12-D12)/D12</f>
        <v>-4.3747470489038695E-2</v>
      </c>
      <c r="F12" s="190"/>
      <c r="G12" s="204"/>
    </row>
    <row r="13" spans="1:7" ht="23.25">
      <c r="A13" s="90">
        <v>3</v>
      </c>
      <c r="B13" s="92" t="s">
        <v>126</v>
      </c>
      <c r="C13" s="149">
        <f>3128.86/100</f>
        <v>31.288600000000002</v>
      </c>
      <c r="D13" s="203">
        <v>31.29</v>
      </c>
      <c r="E13" s="170">
        <f>(C13-D13)/D13</f>
        <v>-4.4742729306383418E-5</v>
      </c>
    </row>
    <row r="14" spans="1:7" ht="23.25">
      <c r="A14" s="90">
        <v>4</v>
      </c>
      <c r="B14" s="92" t="s">
        <v>87</v>
      </c>
      <c r="C14" s="149">
        <f>7754.990645/100</f>
        <v>77.549906449999995</v>
      </c>
      <c r="D14" s="203">
        <f>7233.1203429395/100</f>
        <v>72.331203429395003</v>
      </c>
      <c r="E14" s="170">
        <f>(C14-D14)/D14</f>
        <v>7.2150092535086169E-2</v>
      </c>
    </row>
    <row r="15" spans="1:7" ht="23.25">
      <c r="A15" s="90">
        <v>5</v>
      </c>
      <c r="B15" s="92" t="s">
        <v>120</v>
      </c>
      <c r="C15" s="149">
        <f>SUM(C11:C14)</f>
        <v>3213.9151370074997</v>
      </c>
      <c r="D15" s="203">
        <f>SUM(D11:D14)</f>
        <v>3582.1072547157551</v>
      </c>
      <c r="E15" s="170">
        <f>(C15-D15)/D15</f>
        <v>-0.10278645822889297</v>
      </c>
    </row>
    <row r="16" spans="1:7" ht="17.25" customHeight="1">
      <c r="A16" s="90"/>
      <c r="B16" s="92"/>
      <c r="C16" s="149"/>
      <c r="D16" s="203"/>
      <c r="E16" s="151"/>
    </row>
    <row r="17" spans="1:11" ht="23.25" customHeight="1">
      <c r="A17" s="90" t="s">
        <v>6</v>
      </c>
      <c r="B17" s="92" t="s">
        <v>88</v>
      </c>
      <c r="C17" s="154"/>
      <c r="D17" s="154"/>
      <c r="E17" s="151"/>
    </row>
    <row r="18" spans="1:11" ht="23.25">
      <c r="A18" s="90"/>
      <c r="B18" s="92" t="s">
        <v>89</v>
      </c>
      <c r="C18" s="154"/>
      <c r="D18" s="154"/>
      <c r="E18" s="151"/>
      <c r="K18" s="85" t="s">
        <v>128</v>
      </c>
    </row>
    <row r="19" spans="1:11" ht="18" customHeight="1">
      <c r="A19" s="90">
        <v>1</v>
      </c>
      <c r="B19" s="92" t="s">
        <v>109</v>
      </c>
      <c r="C19" s="300">
        <v>2696.96</v>
      </c>
      <c r="D19" s="300">
        <v>3013.38</v>
      </c>
      <c r="E19" s="363">
        <f>(C19-D19)/D19</f>
        <v>-0.10500501098434319</v>
      </c>
    </row>
    <row r="20" spans="1:11" ht="18" customHeight="1">
      <c r="A20" s="90">
        <v>2</v>
      </c>
      <c r="B20" s="92" t="s">
        <v>90</v>
      </c>
      <c r="C20" s="301"/>
      <c r="D20" s="301"/>
      <c r="E20" s="364"/>
    </row>
    <row r="21" spans="1:11" ht="18" customHeight="1">
      <c r="A21" s="90">
        <v>3</v>
      </c>
      <c r="B21" s="92" t="s">
        <v>91</v>
      </c>
      <c r="C21" s="302"/>
      <c r="D21" s="302"/>
      <c r="E21" s="365"/>
    </row>
    <row r="22" spans="1:11" ht="23.25">
      <c r="A22" s="90">
        <v>4</v>
      </c>
      <c r="B22" s="92" t="s">
        <v>92</v>
      </c>
      <c r="C22" s="171"/>
      <c r="D22" s="203"/>
      <c r="E22" s="170">
        <v>0</v>
      </c>
    </row>
    <row r="23" spans="1:11" ht="25.5" customHeight="1">
      <c r="A23" s="90">
        <v>5</v>
      </c>
      <c r="B23" s="92" t="s">
        <v>93</v>
      </c>
      <c r="C23" s="171">
        <v>264.72000000000003</v>
      </c>
      <c r="D23" s="203">
        <f>249.28+5.5</f>
        <v>254.78</v>
      </c>
      <c r="E23" s="170">
        <f>(C23-D23)/D23</f>
        <v>3.9014051338409711E-2</v>
      </c>
    </row>
    <row r="24" spans="1:11" ht="23.25">
      <c r="A24" s="90">
        <v>6</v>
      </c>
      <c r="B24" s="92" t="s">
        <v>27</v>
      </c>
      <c r="C24" s="171">
        <v>32.387500000000003</v>
      </c>
      <c r="D24" s="203">
        <f>21.262+10</f>
        <v>31.262</v>
      </c>
      <c r="E24" s="170">
        <f>(C24-D24)/D24</f>
        <v>3.6002175164736819E-2</v>
      </c>
    </row>
    <row r="25" spans="1:11" ht="23.25">
      <c r="A25" s="90">
        <v>7</v>
      </c>
      <c r="B25" s="92" t="s">
        <v>94</v>
      </c>
      <c r="C25" s="171">
        <v>40.525500000000001</v>
      </c>
      <c r="D25" s="203">
        <v>39.377200000000002</v>
      </c>
      <c r="E25" s="170">
        <f>(C25-D25)/D25</f>
        <v>2.9161545259693399E-2</v>
      </c>
    </row>
    <row r="26" spans="1:11" ht="23.25">
      <c r="A26" s="90">
        <v>8</v>
      </c>
      <c r="B26" s="92" t="s">
        <v>95</v>
      </c>
      <c r="C26" s="171">
        <v>45.03</v>
      </c>
      <c r="D26" s="203">
        <f>5.11+37</f>
        <v>42.11</v>
      </c>
      <c r="E26" s="245">
        <f>(C26-D26)/D26</f>
        <v>6.9342199002612251E-2</v>
      </c>
    </row>
    <row r="27" spans="1:11" ht="12.75" customHeight="1">
      <c r="A27" s="90"/>
      <c r="B27" s="92"/>
      <c r="C27" s="171"/>
      <c r="D27" s="203"/>
      <c r="E27" s="151"/>
    </row>
    <row r="28" spans="1:11" ht="23.25">
      <c r="A28" s="90">
        <v>9</v>
      </c>
      <c r="B28" s="92" t="s">
        <v>28</v>
      </c>
      <c r="C28" s="171">
        <v>140.69999999999999</v>
      </c>
      <c r="D28" s="203">
        <v>133.72</v>
      </c>
      <c r="E28" s="170">
        <f t="shared" ref="E28:E33" si="0">(C28-D28)/D28</f>
        <v>5.2198623990427684E-2</v>
      </c>
    </row>
    <row r="29" spans="1:11" ht="27" customHeight="1">
      <c r="A29" s="90">
        <v>10</v>
      </c>
      <c r="B29" s="92" t="s">
        <v>26</v>
      </c>
      <c r="C29" s="171">
        <v>32.79</v>
      </c>
      <c r="D29" s="203">
        <v>31.21</v>
      </c>
      <c r="E29" s="170">
        <f t="shared" si="0"/>
        <v>5.0624799743671844E-2</v>
      </c>
    </row>
    <row r="30" spans="1:11" ht="23.25">
      <c r="A30" s="90">
        <v>11</v>
      </c>
      <c r="B30" s="92" t="s">
        <v>96</v>
      </c>
      <c r="C30" s="171">
        <v>0</v>
      </c>
      <c r="D30" s="203">
        <v>0</v>
      </c>
      <c r="E30" s="170"/>
    </row>
    <row r="31" spans="1:11" ht="23.25">
      <c r="A31" s="90">
        <v>12</v>
      </c>
      <c r="B31" s="92" t="s">
        <v>230</v>
      </c>
      <c r="C31" s="171">
        <v>0</v>
      </c>
      <c r="D31" s="203">
        <v>0</v>
      </c>
      <c r="E31" s="170">
        <v>0</v>
      </c>
    </row>
    <row r="32" spans="1:11" ht="23.25">
      <c r="A32" s="90">
        <v>13</v>
      </c>
      <c r="B32" s="92" t="s">
        <v>97</v>
      </c>
      <c r="C32" s="171">
        <v>-26.08</v>
      </c>
      <c r="D32" s="203">
        <v>-25</v>
      </c>
      <c r="E32" s="170"/>
    </row>
    <row r="33" spans="1:13" ht="23.25">
      <c r="A33" s="90">
        <v>14</v>
      </c>
      <c r="B33" s="92" t="s">
        <v>231</v>
      </c>
      <c r="C33" s="22">
        <f>SUM(C19:C32)</f>
        <v>3227.0330000000004</v>
      </c>
      <c r="D33" s="22">
        <f>SUM(D19:D32)</f>
        <v>3520.8392000000003</v>
      </c>
      <c r="E33" s="170">
        <f t="shared" si="0"/>
        <v>-8.3447775746191402E-2</v>
      </c>
    </row>
    <row r="34" spans="1:13" ht="15" customHeight="1">
      <c r="A34" s="90"/>
      <c r="B34" s="92"/>
      <c r="C34" s="22"/>
      <c r="D34" s="22"/>
      <c r="E34" s="178" t="s">
        <v>232</v>
      </c>
    </row>
    <row r="35" spans="1:13" ht="20.25" customHeight="1">
      <c r="A35" s="90" t="s">
        <v>45</v>
      </c>
      <c r="B35" s="92" t="s">
        <v>98</v>
      </c>
      <c r="C35" s="171">
        <f>C15-C33</f>
        <v>-13.117862992500704</v>
      </c>
      <c r="D35" s="203">
        <f>D15-D33</f>
        <v>61.268054715754715</v>
      </c>
      <c r="E35" s="170">
        <f>(C35-D35)/D35</f>
        <v>-1.2141060794790914</v>
      </c>
      <c r="F35" s="97"/>
      <c r="K35" s="133"/>
      <c r="L35" s="133"/>
      <c r="M35" s="134"/>
    </row>
    <row r="36" spans="1:13" ht="23.25">
      <c r="A36" s="90"/>
      <c r="B36" s="92"/>
      <c r="C36" s="20"/>
      <c r="D36" s="20"/>
      <c r="E36" s="138"/>
    </row>
    <row r="37" spans="1:13" ht="23.25" customHeight="1" thickBot="1">
      <c r="A37" s="366" t="s">
        <v>127</v>
      </c>
      <c r="B37" s="367"/>
      <c r="C37" s="367"/>
      <c r="D37" s="367"/>
      <c r="E37" s="368"/>
    </row>
    <row r="40" spans="1:13" ht="12.75" customHeight="1">
      <c r="A40" s="313"/>
      <c r="B40" s="313"/>
    </row>
    <row r="41" spans="1:13">
      <c r="D41" s="97"/>
    </row>
    <row r="44" spans="1:13" ht="20.100000000000001" customHeight="1">
      <c r="C44" s="24"/>
      <c r="D44" s="24"/>
    </row>
    <row r="45" spans="1:13" ht="20.100000000000001" customHeight="1"/>
    <row r="46" spans="1:13" ht="20.100000000000001" customHeight="1"/>
    <row r="47" spans="1:13" ht="20.100000000000001" customHeight="1"/>
    <row r="48" spans="1:13" ht="20.100000000000001" customHeight="1"/>
    <row r="49" spans="3:4" ht="20.100000000000001" customHeight="1">
      <c r="C49" s="24"/>
      <c r="D49" s="135"/>
    </row>
    <row r="50" spans="3:4" ht="20.100000000000001" customHeight="1"/>
    <row r="54" spans="3:4" ht="60" customHeight="1"/>
  </sheetData>
  <mergeCells count="7">
    <mergeCell ref="A40:B40"/>
    <mergeCell ref="A4:E4"/>
    <mergeCell ref="A6:E6"/>
    <mergeCell ref="E19:E21"/>
    <mergeCell ref="C19:C21"/>
    <mergeCell ref="D19:D21"/>
    <mergeCell ref="A37:E37"/>
  </mergeCells>
  <phoneticPr fontId="1"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dimension ref="A1:M110"/>
  <sheetViews>
    <sheetView topLeftCell="A55" workbookViewId="0">
      <selection activeCell="E69" sqref="E69"/>
    </sheetView>
  </sheetViews>
  <sheetFormatPr defaultRowHeight="15" customHeight="1"/>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c r="A1" s="31" t="s">
        <v>129</v>
      </c>
      <c r="B1" s="31" t="s">
        <v>130</v>
      </c>
      <c r="C1" s="32" t="s">
        <v>131</v>
      </c>
      <c r="D1" s="32" t="s">
        <v>132</v>
      </c>
      <c r="E1" s="32" t="s">
        <v>133</v>
      </c>
      <c r="F1" s="32" t="s">
        <v>134</v>
      </c>
      <c r="G1" s="32" t="s">
        <v>135</v>
      </c>
      <c r="H1" s="32" t="s">
        <v>136</v>
      </c>
      <c r="I1" s="32" t="s">
        <v>137</v>
      </c>
      <c r="J1" s="32" t="s">
        <v>138</v>
      </c>
      <c r="K1" s="32" t="s">
        <v>139</v>
      </c>
    </row>
    <row r="2" spans="1:11" ht="15" customHeight="1">
      <c r="A2" s="33" t="s">
        <v>140</v>
      </c>
      <c r="B2" s="33"/>
      <c r="C2" s="33"/>
      <c r="D2" s="33"/>
      <c r="E2" s="33"/>
      <c r="F2" s="33"/>
      <c r="G2" s="33"/>
      <c r="H2" s="33"/>
      <c r="I2" s="33"/>
      <c r="J2" s="33"/>
      <c r="K2" s="33"/>
    </row>
    <row r="3" spans="1:11" ht="15" customHeight="1">
      <c r="A3" s="34">
        <v>1</v>
      </c>
      <c r="B3" s="34" t="s">
        <v>2</v>
      </c>
      <c r="C3" s="35">
        <v>3116069269.4099998</v>
      </c>
      <c r="D3" s="35">
        <v>17043896.82</v>
      </c>
      <c r="E3" s="35">
        <v>172650.77</v>
      </c>
      <c r="F3" s="35">
        <v>343600985.27999997</v>
      </c>
      <c r="G3" s="35">
        <v>0</v>
      </c>
      <c r="H3" s="35">
        <v>73554896.5</v>
      </c>
      <c r="I3" s="35">
        <v>227109.15</v>
      </c>
      <c r="J3" s="35">
        <v>18633312.23</v>
      </c>
      <c r="K3" s="35">
        <v>3569302120.1599998</v>
      </c>
    </row>
    <row r="4" spans="1:11" ht="15" customHeight="1">
      <c r="A4" s="34">
        <v>2</v>
      </c>
      <c r="B4" s="34" t="s">
        <v>141</v>
      </c>
      <c r="C4" s="35">
        <v>71089139.950000003</v>
      </c>
      <c r="D4" s="35">
        <v>101753.87</v>
      </c>
      <c r="E4" s="35">
        <v>17040</v>
      </c>
      <c r="F4" s="35">
        <v>7364652.4699999997</v>
      </c>
      <c r="G4" s="35">
        <v>0</v>
      </c>
      <c r="H4" s="35">
        <v>748929.5</v>
      </c>
      <c r="I4" s="35">
        <v>23532.400000000001</v>
      </c>
      <c r="J4" s="35">
        <v>453786.14</v>
      </c>
      <c r="K4" s="35">
        <v>79798834.329999998</v>
      </c>
    </row>
    <row r="5" spans="1:11" ht="15" customHeight="1">
      <c r="A5" s="34">
        <v>3</v>
      </c>
      <c r="B5" s="34" t="s">
        <v>142</v>
      </c>
      <c r="C5" s="35">
        <v>2127392756.0799999</v>
      </c>
      <c r="D5" s="35">
        <v>10987310.15</v>
      </c>
      <c r="E5" s="35">
        <v>55383.85</v>
      </c>
      <c r="F5" s="35">
        <v>335242088.61000001</v>
      </c>
      <c r="G5" s="35">
        <v>0</v>
      </c>
      <c r="H5" s="35">
        <v>15904544</v>
      </c>
      <c r="I5" s="35">
        <v>285434.14</v>
      </c>
      <c r="J5" s="35">
        <v>5771228.1399999997</v>
      </c>
      <c r="K5" s="35">
        <v>2495638744.9699998</v>
      </c>
    </row>
    <row r="6" spans="1:11" ht="15" customHeight="1">
      <c r="A6" s="34"/>
      <c r="B6" s="34" t="s">
        <v>143</v>
      </c>
      <c r="C6" s="35">
        <v>78023457.159999996</v>
      </c>
      <c r="D6" s="35">
        <v>0</v>
      </c>
      <c r="E6" s="35">
        <v>0</v>
      </c>
      <c r="F6" s="35">
        <v>19271785.379999999</v>
      </c>
      <c r="G6" s="35">
        <v>0</v>
      </c>
      <c r="H6" s="35">
        <v>469841</v>
      </c>
      <c r="I6" s="35">
        <v>303675.78000000003</v>
      </c>
      <c r="J6" s="35">
        <v>245968.69</v>
      </c>
      <c r="K6" s="35">
        <v>98314728.010000005</v>
      </c>
    </row>
    <row r="7" spans="1:11" ht="15" customHeight="1">
      <c r="A7" s="34"/>
      <c r="B7" s="34" t="s">
        <v>144</v>
      </c>
      <c r="C7" s="35">
        <v>2205416213.2399998</v>
      </c>
      <c r="D7" s="35">
        <v>10987310.15</v>
      </c>
      <c r="E7" s="35">
        <v>55383.85</v>
      </c>
      <c r="F7" s="35">
        <v>354513873.99000001</v>
      </c>
      <c r="G7" s="35">
        <v>0</v>
      </c>
      <c r="H7" s="35">
        <v>16374385</v>
      </c>
      <c r="I7" s="35">
        <v>589109.92000000004</v>
      </c>
      <c r="J7" s="35">
        <v>6017196.8300000001</v>
      </c>
      <c r="K7" s="35">
        <v>2593953472.98</v>
      </c>
    </row>
    <row r="8" spans="1:11" ht="15" customHeight="1">
      <c r="A8" s="34">
        <v>4</v>
      </c>
      <c r="B8" s="34" t="s">
        <v>145</v>
      </c>
      <c r="C8" s="35">
        <v>229130849.12</v>
      </c>
      <c r="D8" s="35">
        <v>7024.2</v>
      </c>
      <c r="E8" s="35">
        <v>360</v>
      </c>
      <c r="F8" s="35">
        <v>3568735.55</v>
      </c>
      <c r="G8" s="35">
        <v>0</v>
      </c>
      <c r="H8" s="35">
        <v>1043824</v>
      </c>
      <c r="I8" s="35">
        <v>84685</v>
      </c>
      <c r="J8" s="35">
        <v>38964479.619999997</v>
      </c>
      <c r="K8" s="35">
        <v>272799957.49000001</v>
      </c>
    </row>
    <row r="9" spans="1:11" ht="15" customHeight="1">
      <c r="A9" s="34">
        <v>5</v>
      </c>
      <c r="B9" s="34" t="s">
        <v>5</v>
      </c>
      <c r="C9" s="35">
        <v>224828301.09</v>
      </c>
      <c r="D9" s="35">
        <v>1100948.82</v>
      </c>
      <c r="E9" s="35">
        <v>69162.009999999995</v>
      </c>
      <c r="F9" s="35">
        <v>32851.339999999997</v>
      </c>
      <c r="G9" s="35">
        <v>0</v>
      </c>
      <c r="H9" s="35">
        <v>6727882.5</v>
      </c>
      <c r="I9" s="35">
        <v>96521.78</v>
      </c>
      <c r="J9" s="35">
        <v>1507359.23</v>
      </c>
      <c r="K9" s="35">
        <v>234363026.77000001</v>
      </c>
    </row>
    <row r="10" spans="1:11" ht="15" customHeight="1">
      <c r="A10" s="34">
        <v>6</v>
      </c>
      <c r="B10" s="34" t="s">
        <v>146</v>
      </c>
      <c r="C10" s="35">
        <v>93088768.859999999</v>
      </c>
      <c r="D10" s="35">
        <v>0</v>
      </c>
      <c r="E10" s="35">
        <v>0</v>
      </c>
      <c r="F10" s="35">
        <v>833815.28</v>
      </c>
      <c r="G10" s="35">
        <v>0</v>
      </c>
      <c r="H10" s="35">
        <v>302109.5</v>
      </c>
      <c r="I10" s="35">
        <v>89765.18</v>
      </c>
      <c r="J10" s="35">
        <v>4559629.57</v>
      </c>
      <c r="K10" s="35">
        <v>98874088.390000001</v>
      </c>
    </row>
    <row r="11" spans="1:11" ht="15" customHeight="1">
      <c r="A11" s="34">
        <v>7</v>
      </c>
      <c r="B11" s="34" t="s">
        <v>147</v>
      </c>
      <c r="C11" s="35">
        <v>2188369.91</v>
      </c>
      <c r="D11" s="35">
        <v>52177.62</v>
      </c>
      <c r="E11" s="35">
        <v>0</v>
      </c>
      <c r="F11" s="35">
        <v>239472.02</v>
      </c>
      <c r="G11" s="35">
        <v>0</v>
      </c>
      <c r="H11" s="35">
        <v>183965.5</v>
      </c>
      <c r="I11" s="35">
        <v>10954.81</v>
      </c>
      <c r="J11" s="35">
        <v>1881544.86</v>
      </c>
      <c r="K11" s="35">
        <v>4556484.72</v>
      </c>
    </row>
    <row r="12" spans="1:11" ht="15" customHeight="1">
      <c r="A12" s="34">
        <v>8</v>
      </c>
      <c r="B12" s="34" t="s">
        <v>148</v>
      </c>
      <c r="C12" s="35">
        <v>1346751.03</v>
      </c>
      <c r="D12" s="35">
        <v>29611.200000000001</v>
      </c>
      <c r="E12" s="35">
        <v>0</v>
      </c>
      <c r="F12" s="35">
        <v>0</v>
      </c>
      <c r="G12" s="35">
        <v>0</v>
      </c>
      <c r="H12" s="35">
        <v>0</v>
      </c>
      <c r="I12" s="35">
        <v>0</v>
      </c>
      <c r="J12" s="35">
        <v>12750.19</v>
      </c>
      <c r="K12" s="35">
        <v>1389112.42</v>
      </c>
    </row>
    <row r="13" spans="1:11" ht="15" customHeight="1">
      <c r="A13" s="34">
        <v>9</v>
      </c>
      <c r="B13" s="34" t="s">
        <v>149</v>
      </c>
      <c r="C13" s="35">
        <v>0</v>
      </c>
      <c r="D13" s="35">
        <v>3642101.75</v>
      </c>
      <c r="E13" s="35">
        <v>0</v>
      </c>
      <c r="F13" s="35">
        <v>384932.08</v>
      </c>
      <c r="G13" s="35">
        <v>0</v>
      </c>
      <c r="H13" s="35">
        <v>0</v>
      </c>
      <c r="I13" s="35">
        <v>46327.9</v>
      </c>
      <c r="J13" s="35">
        <v>55.4</v>
      </c>
      <c r="K13" s="35">
        <v>4073417.13</v>
      </c>
    </row>
    <row r="14" spans="1:11" ht="15" customHeight="1">
      <c r="A14" s="34">
        <v>10</v>
      </c>
      <c r="B14" s="34" t="s">
        <v>150</v>
      </c>
      <c r="C14" s="35">
        <v>5861599084.5100002</v>
      </c>
      <c r="D14" s="35">
        <v>29240933.859999999</v>
      </c>
      <c r="E14" s="35">
        <v>314596.63</v>
      </c>
      <c r="F14" s="35">
        <v>690643128.52999997</v>
      </c>
      <c r="G14" s="35">
        <v>0</v>
      </c>
      <c r="H14" s="35">
        <v>98282186</v>
      </c>
      <c r="I14" s="35">
        <v>807047.65</v>
      </c>
      <c r="J14" s="35">
        <v>69889794.930000007</v>
      </c>
      <c r="K14" s="35">
        <v>6750776772.1099997</v>
      </c>
    </row>
    <row r="15" spans="1:11" ht="15" customHeight="1">
      <c r="A15" s="34">
        <v>11</v>
      </c>
      <c r="B15" s="34" t="s">
        <v>151</v>
      </c>
      <c r="C15" s="35">
        <v>3535120.94</v>
      </c>
      <c r="D15" s="35">
        <v>81788.820000000007</v>
      </c>
      <c r="E15" s="35">
        <v>0</v>
      </c>
      <c r="F15" s="35">
        <v>239472.02</v>
      </c>
      <c r="G15" s="35">
        <v>0</v>
      </c>
      <c r="H15" s="35">
        <v>183965.5</v>
      </c>
      <c r="I15" s="35">
        <v>10954.81</v>
      </c>
      <c r="J15" s="35">
        <v>1894295.05</v>
      </c>
      <c r="K15" s="35">
        <v>5945597.1399999997</v>
      </c>
    </row>
    <row r="16" spans="1:11" ht="15" customHeight="1">
      <c r="A16" s="34">
        <v>12</v>
      </c>
      <c r="B16" s="34" t="s">
        <v>152</v>
      </c>
      <c r="C16" s="35">
        <v>78023457.159999996</v>
      </c>
      <c r="D16" s="35">
        <v>3642101.75</v>
      </c>
      <c r="E16" s="35">
        <v>0</v>
      </c>
      <c r="F16" s="35">
        <v>19656717.460000001</v>
      </c>
      <c r="G16" s="35">
        <v>0</v>
      </c>
      <c r="H16" s="35">
        <v>469841</v>
      </c>
      <c r="I16" s="35">
        <v>350003.68</v>
      </c>
      <c r="J16" s="35">
        <v>246024.09</v>
      </c>
      <c r="K16" s="35">
        <v>102388145.14</v>
      </c>
    </row>
    <row r="17" spans="1:11" ht="15" customHeight="1">
      <c r="A17" s="34">
        <v>13</v>
      </c>
      <c r="B17" s="34" t="s">
        <v>153</v>
      </c>
      <c r="C17" s="35">
        <v>5943157662.6099997</v>
      </c>
      <c r="D17" s="35">
        <v>32964824.43</v>
      </c>
      <c r="E17" s="35">
        <v>314596.63</v>
      </c>
      <c r="F17" s="35">
        <v>710539318.00999999</v>
      </c>
      <c r="G17" s="35">
        <v>0</v>
      </c>
      <c r="H17" s="35">
        <v>98935992.5</v>
      </c>
      <c r="I17" s="35">
        <v>1168006.1399999999</v>
      </c>
      <c r="J17" s="35">
        <v>72030114.069999993</v>
      </c>
      <c r="K17" s="35">
        <v>6859110514.3900003</v>
      </c>
    </row>
    <row r="18" spans="1:11" ht="15" customHeight="1">
      <c r="A18" s="33" t="s">
        <v>140</v>
      </c>
      <c r="B18" s="33"/>
      <c r="C18" s="33"/>
      <c r="D18" s="33"/>
      <c r="E18" s="33"/>
      <c r="F18" s="33"/>
      <c r="G18" s="33"/>
      <c r="H18" s="33"/>
      <c r="I18" s="33"/>
      <c r="J18" s="33"/>
      <c r="K18" s="33"/>
    </row>
    <row r="19" spans="1:11" ht="15" customHeight="1">
      <c r="A19" s="36" t="s">
        <v>154</v>
      </c>
      <c r="B19" s="36"/>
      <c r="C19" s="36"/>
      <c r="D19" s="36"/>
      <c r="E19" s="36"/>
      <c r="F19" s="36"/>
      <c r="G19" s="36"/>
      <c r="H19" s="36"/>
      <c r="I19" s="36"/>
      <c r="J19" s="36"/>
      <c r="K19" s="36"/>
    </row>
    <row r="20" spans="1:11" ht="15" customHeight="1">
      <c r="A20" s="33" t="s">
        <v>140</v>
      </c>
      <c r="B20" s="33"/>
      <c r="C20" s="33"/>
      <c r="D20" s="33"/>
      <c r="E20" s="33"/>
      <c r="F20" s="33"/>
      <c r="G20" s="33"/>
      <c r="H20" s="33"/>
      <c r="I20" s="33"/>
      <c r="J20" s="33"/>
      <c r="K20" s="33"/>
    </row>
    <row r="21" spans="1:11" ht="15" customHeight="1">
      <c r="A21" s="31" t="s">
        <v>129</v>
      </c>
      <c r="B21" s="31" t="s">
        <v>130</v>
      </c>
      <c r="C21" s="32" t="s">
        <v>155</v>
      </c>
      <c r="D21" s="32" t="s">
        <v>156</v>
      </c>
      <c r="E21" s="32" t="s">
        <v>157</v>
      </c>
      <c r="F21" s="32" t="s">
        <v>158</v>
      </c>
      <c r="G21" s="32" t="s">
        <v>159</v>
      </c>
      <c r="H21" s="32" t="s">
        <v>160</v>
      </c>
      <c r="I21" s="32" t="s">
        <v>161</v>
      </c>
      <c r="J21" s="32" t="s">
        <v>162</v>
      </c>
      <c r="K21" s="32" t="s">
        <v>163</v>
      </c>
    </row>
    <row r="22" spans="1:11" ht="15" customHeight="1">
      <c r="A22" s="33" t="s">
        <v>140</v>
      </c>
      <c r="B22" s="33"/>
      <c r="C22" s="33"/>
      <c r="D22" s="33"/>
      <c r="E22" s="33"/>
      <c r="F22" s="33"/>
      <c r="G22" s="33"/>
      <c r="H22" s="33"/>
      <c r="I22" s="33"/>
      <c r="J22" s="33"/>
      <c r="K22" s="33"/>
    </row>
    <row r="23" spans="1:11" ht="15" customHeight="1">
      <c r="A23" s="34">
        <v>1</v>
      </c>
      <c r="B23" s="34" t="s">
        <v>2</v>
      </c>
      <c r="C23" s="35">
        <v>1178560</v>
      </c>
      <c r="D23" s="35">
        <v>547896815</v>
      </c>
      <c r="E23" s="35">
        <v>108936347.28</v>
      </c>
      <c r="F23" s="35">
        <v>2277778320.7800002</v>
      </c>
      <c r="G23" s="35">
        <v>698827103.16999996</v>
      </c>
      <c r="H23" s="35">
        <v>0</v>
      </c>
      <c r="I23" s="35">
        <v>23878038.489999998</v>
      </c>
      <c r="J23" s="35">
        <v>6649459.6900000004</v>
      </c>
      <c r="K23" s="35">
        <v>3116069269.4099998</v>
      </c>
    </row>
    <row r="24" spans="1:11" ht="15" customHeight="1">
      <c r="A24" s="34">
        <v>2</v>
      </c>
      <c r="B24" s="34" t="s">
        <v>141</v>
      </c>
      <c r="C24" s="35">
        <v>10324</v>
      </c>
      <c r="D24" s="35">
        <v>12238984</v>
      </c>
      <c r="E24" s="35">
        <v>3352066.04</v>
      </c>
      <c r="F24" s="35">
        <v>49361466.770000003</v>
      </c>
      <c r="G24" s="35">
        <v>14977587.99</v>
      </c>
      <c r="H24" s="35">
        <v>0</v>
      </c>
      <c r="I24" s="35">
        <v>3186689.16</v>
      </c>
      <c r="J24" s="35">
        <v>211329.99</v>
      </c>
      <c r="K24" s="35">
        <v>71089139.950000003</v>
      </c>
    </row>
    <row r="25" spans="1:11" ht="15" customHeight="1">
      <c r="A25" s="34">
        <v>3</v>
      </c>
      <c r="B25" s="34" t="s">
        <v>142</v>
      </c>
      <c r="C25" s="35">
        <v>141223</v>
      </c>
      <c r="D25" s="35">
        <v>308942121</v>
      </c>
      <c r="E25" s="35">
        <v>209816323.53</v>
      </c>
      <c r="F25" s="35">
        <v>1506771323.96</v>
      </c>
      <c r="G25" s="35">
        <v>383974357.43000001</v>
      </c>
      <c r="H25" s="35">
        <v>243868.04</v>
      </c>
      <c r="I25" s="35">
        <v>12422367.029999999</v>
      </c>
      <c r="J25" s="35">
        <v>14164516.09</v>
      </c>
      <c r="K25" s="35">
        <v>2127392756.0799999</v>
      </c>
    </row>
    <row r="26" spans="1:11" ht="15" customHeight="1">
      <c r="A26" s="34"/>
      <c r="B26" s="34" t="s">
        <v>143</v>
      </c>
      <c r="C26" s="35">
        <v>4704</v>
      </c>
      <c r="D26" s="35">
        <v>8930434</v>
      </c>
      <c r="E26" s="35">
        <v>26180158.879999999</v>
      </c>
      <c r="F26" s="35">
        <v>41354591.560000002</v>
      </c>
      <c r="G26" s="35">
        <v>10417808.65</v>
      </c>
      <c r="H26" s="35">
        <v>0</v>
      </c>
      <c r="I26" s="35">
        <v>0</v>
      </c>
      <c r="J26" s="35">
        <v>70898.070000000007</v>
      </c>
      <c r="K26" s="35">
        <v>78023457.159999996</v>
      </c>
    </row>
    <row r="27" spans="1:11" ht="15" customHeight="1">
      <c r="A27" s="34"/>
      <c r="B27" s="34" t="s">
        <v>144</v>
      </c>
      <c r="C27" s="35">
        <v>145927</v>
      </c>
      <c r="D27" s="35">
        <v>317872555</v>
      </c>
      <c r="E27" s="35">
        <v>235996482.41</v>
      </c>
      <c r="F27" s="35">
        <v>1548125915.52</v>
      </c>
      <c r="G27" s="35">
        <v>394392166.07999998</v>
      </c>
      <c r="H27" s="35">
        <v>243868.04</v>
      </c>
      <c r="I27" s="35">
        <v>12422367.029999999</v>
      </c>
      <c r="J27" s="35">
        <v>14235414.16</v>
      </c>
      <c r="K27" s="35">
        <v>2205416213.2399998</v>
      </c>
    </row>
    <row r="28" spans="1:11" ht="15" customHeight="1">
      <c r="A28" s="34">
        <v>4</v>
      </c>
      <c r="B28" s="34" t="s">
        <v>145</v>
      </c>
      <c r="C28" s="35">
        <v>8003</v>
      </c>
      <c r="D28" s="35">
        <v>48527153</v>
      </c>
      <c r="E28" s="35">
        <v>1355207.11</v>
      </c>
      <c r="F28" s="35">
        <v>164401308.53999999</v>
      </c>
      <c r="G28" s="35">
        <v>58237665.729999997</v>
      </c>
      <c r="H28" s="35">
        <v>0</v>
      </c>
      <c r="I28" s="35">
        <v>2690678.79</v>
      </c>
      <c r="J28" s="35">
        <v>2445988.9500000002</v>
      </c>
      <c r="K28" s="35">
        <v>229130849.12</v>
      </c>
    </row>
    <row r="29" spans="1:11" ht="15" customHeight="1">
      <c r="A29" s="34">
        <v>5</v>
      </c>
      <c r="B29" s="34" t="s">
        <v>5</v>
      </c>
      <c r="C29" s="35">
        <v>64962</v>
      </c>
      <c r="D29" s="35">
        <v>168792969</v>
      </c>
      <c r="E29" s="35">
        <v>32021768.899999999</v>
      </c>
      <c r="F29" s="35">
        <v>186279271.38999999</v>
      </c>
      <c r="G29" s="35">
        <v>0</v>
      </c>
      <c r="H29" s="35">
        <v>0</v>
      </c>
      <c r="I29" s="35">
        <v>5083644.16</v>
      </c>
      <c r="J29" s="35">
        <v>1443616.64</v>
      </c>
      <c r="K29" s="35">
        <v>224828301.09</v>
      </c>
    </row>
    <row r="30" spans="1:11" ht="15" customHeight="1">
      <c r="A30" s="34">
        <v>6</v>
      </c>
      <c r="B30" s="34" t="s">
        <v>146</v>
      </c>
      <c r="C30" s="35">
        <v>4333</v>
      </c>
      <c r="D30" s="35">
        <v>15223858</v>
      </c>
      <c r="E30" s="35">
        <v>212629.18</v>
      </c>
      <c r="F30" s="35">
        <v>71319701.260000005</v>
      </c>
      <c r="G30" s="35">
        <v>20672610.43</v>
      </c>
      <c r="H30" s="35">
        <v>0</v>
      </c>
      <c r="I30" s="35">
        <v>303088.92</v>
      </c>
      <c r="J30" s="35">
        <v>580739.06999999995</v>
      </c>
      <c r="K30" s="35">
        <v>93088768.859999999</v>
      </c>
    </row>
    <row r="31" spans="1:11" ht="15" customHeight="1">
      <c r="A31" s="34">
        <v>7</v>
      </c>
      <c r="B31" s="34" t="s">
        <v>147</v>
      </c>
      <c r="C31" s="35">
        <v>75006</v>
      </c>
      <c r="D31" s="35">
        <v>254352</v>
      </c>
      <c r="E31" s="35">
        <v>0</v>
      </c>
      <c r="F31" s="35">
        <v>0</v>
      </c>
      <c r="G31" s="35">
        <v>0</v>
      </c>
      <c r="H31" s="35">
        <v>0</v>
      </c>
      <c r="I31" s="35">
        <v>0</v>
      </c>
      <c r="J31" s="35">
        <v>2188369.91</v>
      </c>
      <c r="K31" s="35">
        <v>2188369.91</v>
      </c>
    </row>
    <row r="32" spans="1:11" ht="15" customHeight="1">
      <c r="A32" s="34">
        <v>8</v>
      </c>
      <c r="B32" s="34" t="s">
        <v>148</v>
      </c>
      <c r="C32" s="35">
        <v>2231</v>
      </c>
      <c r="D32" s="35">
        <v>0</v>
      </c>
      <c r="E32" s="35">
        <v>1316135.1299999999</v>
      </c>
      <c r="F32" s="35">
        <v>5130</v>
      </c>
      <c r="G32" s="35">
        <v>0</v>
      </c>
      <c r="H32" s="35">
        <v>0</v>
      </c>
      <c r="I32" s="35">
        <v>0</v>
      </c>
      <c r="J32" s="35">
        <v>25485.9</v>
      </c>
      <c r="K32" s="35">
        <v>1346751.03</v>
      </c>
    </row>
    <row r="33" spans="1:11" ht="15" customHeight="1">
      <c r="A33" s="34">
        <v>9</v>
      </c>
      <c r="B33" s="34" t="s">
        <v>149</v>
      </c>
      <c r="C33" s="35">
        <v>255</v>
      </c>
      <c r="D33" s="35">
        <v>740096</v>
      </c>
      <c r="E33" s="35">
        <v>0</v>
      </c>
      <c r="F33" s="35">
        <v>0</v>
      </c>
      <c r="G33" s="35">
        <v>0</v>
      </c>
      <c r="H33" s="35">
        <v>0</v>
      </c>
      <c r="I33" s="35">
        <v>0</v>
      </c>
      <c r="J33" s="35">
        <v>0</v>
      </c>
      <c r="K33" s="35">
        <v>0</v>
      </c>
    </row>
    <row r="34" spans="1:11" ht="15" customHeight="1">
      <c r="A34" s="34">
        <v>10</v>
      </c>
      <c r="B34" s="34" t="s">
        <v>150</v>
      </c>
      <c r="C34" s="35">
        <v>1407405</v>
      </c>
      <c r="D34" s="35">
        <v>1101621900</v>
      </c>
      <c r="E34" s="35">
        <v>355694342.04000002</v>
      </c>
      <c r="F34" s="35">
        <v>4255911392.6999998</v>
      </c>
      <c r="G34" s="35">
        <v>1176689324.75</v>
      </c>
      <c r="H34" s="35">
        <v>243868.04</v>
      </c>
      <c r="I34" s="35">
        <v>47564506.549999997</v>
      </c>
      <c r="J34" s="35">
        <v>25495650.43</v>
      </c>
      <c r="K34" s="35">
        <v>5861599084.5100002</v>
      </c>
    </row>
    <row r="35" spans="1:11" ht="15" customHeight="1">
      <c r="A35" s="34">
        <v>11</v>
      </c>
      <c r="B35" s="34" t="s">
        <v>164</v>
      </c>
      <c r="C35" s="35">
        <v>77237</v>
      </c>
      <c r="D35" s="35">
        <v>254352</v>
      </c>
      <c r="E35" s="35">
        <v>1316135.1299999999</v>
      </c>
      <c r="F35" s="35">
        <v>5130</v>
      </c>
      <c r="G35" s="35">
        <v>0</v>
      </c>
      <c r="H35" s="35">
        <v>0</v>
      </c>
      <c r="I35" s="35">
        <v>0</v>
      </c>
      <c r="J35" s="35">
        <v>2213855.81</v>
      </c>
      <c r="K35" s="35">
        <v>3535120.94</v>
      </c>
    </row>
    <row r="36" spans="1:11" ht="15" customHeight="1">
      <c r="A36" s="34">
        <v>12</v>
      </c>
      <c r="B36" s="34" t="s">
        <v>152</v>
      </c>
      <c r="C36" s="35">
        <v>4959</v>
      </c>
      <c r="D36" s="35">
        <v>9670530</v>
      </c>
      <c r="E36" s="35">
        <v>26180158.879999999</v>
      </c>
      <c r="F36" s="35">
        <v>41354591.560000002</v>
      </c>
      <c r="G36" s="35">
        <v>10417808.65</v>
      </c>
      <c r="H36" s="35">
        <v>0</v>
      </c>
      <c r="I36" s="35">
        <v>0</v>
      </c>
      <c r="J36" s="35">
        <v>70898.070000000007</v>
      </c>
      <c r="K36" s="35">
        <v>78023457.159999996</v>
      </c>
    </row>
    <row r="37" spans="1:11" ht="15" customHeight="1">
      <c r="A37" s="34">
        <v>13</v>
      </c>
      <c r="B37" s="34" t="s">
        <v>153</v>
      </c>
      <c r="C37" s="35">
        <v>1489601</v>
      </c>
      <c r="D37" s="35">
        <v>1111546782</v>
      </c>
      <c r="E37" s="35">
        <v>383190636.05000001</v>
      </c>
      <c r="F37" s="35">
        <v>4297271114.2600002</v>
      </c>
      <c r="G37" s="35">
        <v>1187107133.4000001</v>
      </c>
      <c r="H37" s="35">
        <v>243868.04</v>
      </c>
      <c r="I37" s="35">
        <v>47564506.549999997</v>
      </c>
      <c r="J37" s="35">
        <v>27780404.309999999</v>
      </c>
      <c r="K37" s="35">
        <v>5943157662.6099997</v>
      </c>
    </row>
    <row r="38" spans="1:11" ht="15" customHeight="1">
      <c r="A38" s="33" t="s">
        <v>140</v>
      </c>
      <c r="B38" s="33"/>
      <c r="C38" s="33"/>
      <c r="D38" s="33"/>
      <c r="E38" s="33"/>
      <c r="F38" s="33"/>
      <c r="G38" s="33"/>
      <c r="H38" s="33"/>
      <c r="I38" s="33"/>
      <c r="J38" s="33"/>
      <c r="K38" s="33"/>
    </row>
    <row r="39" spans="1:11" ht="15" customHeight="1">
      <c r="A39" s="37"/>
      <c r="B39" s="37"/>
      <c r="C39" s="37"/>
      <c r="D39" s="37"/>
      <c r="E39" s="37"/>
      <c r="F39" s="37"/>
      <c r="G39" s="37"/>
      <c r="H39" s="37"/>
      <c r="I39" s="37"/>
      <c r="J39" s="37"/>
      <c r="K39" s="37"/>
    </row>
    <row r="40" spans="1:11" ht="15" customHeight="1">
      <c r="A40" s="37"/>
      <c r="B40" s="37"/>
      <c r="C40" s="37"/>
      <c r="D40" s="37"/>
      <c r="E40" s="37"/>
      <c r="F40" s="37"/>
      <c r="G40" s="37"/>
      <c r="H40" s="37"/>
      <c r="I40" s="37"/>
      <c r="J40" s="37"/>
      <c r="K40" s="37"/>
    </row>
    <row r="41" spans="1:11" ht="15" customHeight="1">
      <c r="A41" s="33" t="s">
        <v>165</v>
      </c>
      <c r="B41" s="33"/>
      <c r="C41" s="33"/>
      <c r="D41" s="33"/>
      <c r="E41" s="33"/>
      <c r="F41" s="33"/>
      <c r="G41" s="33"/>
      <c r="H41" s="33"/>
      <c r="I41" s="33"/>
      <c r="J41" s="33"/>
      <c r="K41" s="33"/>
    </row>
    <row r="42" spans="1:11" ht="15" customHeight="1">
      <c r="A42" s="36" t="s">
        <v>166</v>
      </c>
      <c r="B42" s="36"/>
      <c r="C42" s="36"/>
      <c r="D42" s="36"/>
      <c r="E42" s="36" t="s">
        <v>167</v>
      </c>
      <c r="F42" s="36"/>
      <c r="G42" s="36"/>
      <c r="H42" s="36"/>
      <c r="I42" s="36" t="s">
        <v>168</v>
      </c>
      <c r="J42" s="36"/>
      <c r="K42" s="36"/>
    </row>
    <row r="43" spans="1:11" ht="15" customHeight="1">
      <c r="A43" s="36" t="s">
        <v>169</v>
      </c>
      <c r="B43" s="36"/>
      <c r="C43" s="36" t="s">
        <v>170</v>
      </c>
      <c r="D43" s="36"/>
      <c r="E43" s="36"/>
      <c r="F43" s="36" t="s">
        <v>171</v>
      </c>
      <c r="G43" s="36"/>
      <c r="H43" s="36"/>
      <c r="I43" s="36" t="s">
        <v>172</v>
      </c>
      <c r="J43" s="36"/>
      <c r="K43" s="36"/>
    </row>
    <row r="44" spans="1:11" ht="15" customHeight="1">
      <c r="A44" s="33" t="s">
        <v>140</v>
      </c>
      <c r="B44" s="33"/>
      <c r="C44" s="33"/>
      <c r="D44" s="33"/>
      <c r="E44" s="33"/>
      <c r="F44" s="33"/>
      <c r="G44" s="33"/>
      <c r="H44" s="33"/>
      <c r="I44" s="33"/>
      <c r="J44" s="33"/>
      <c r="K44" s="33"/>
    </row>
    <row r="45" spans="1:11" ht="15" customHeight="1">
      <c r="A45" s="31" t="s">
        <v>129</v>
      </c>
      <c r="B45" s="31" t="s">
        <v>130</v>
      </c>
      <c r="C45" s="32" t="s">
        <v>155</v>
      </c>
      <c r="D45" s="32" t="s">
        <v>156</v>
      </c>
      <c r="E45" s="32" t="s">
        <v>173</v>
      </c>
      <c r="F45" s="32" t="s">
        <v>139</v>
      </c>
      <c r="G45" s="32" t="s">
        <v>174</v>
      </c>
      <c r="H45" s="32" t="s">
        <v>175</v>
      </c>
      <c r="I45" s="32" t="s">
        <v>176</v>
      </c>
      <c r="J45" s="32" t="s">
        <v>177</v>
      </c>
      <c r="K45" s="32" t="s">
        <v>178</v>
      </c>
    </row>
    <row r="46" spans="1:11" ht="15" customHeight="1">
      <c r="A46" s="33" t="s">
        <v>140</v>
      </c>
      <c r="B46" s="33"/>
      <c r="C46" s="33"/>
      <c r="D46" s="33"/>
      <c r="E46" s="33"/>
      <c r="F46" s="33"/>
      <c r="G46" s="33"/>
      <c r="H46" s="33"/>
      <c r="I46" s="33"/>
      <c r="J46" s="33"/>
      <c r="K46" s="33"/>
    </row>
    <row r="47" spans="1:11" ht="15" customHeight="1">
      <c r="A47" s="34">
        <v>1</v>
      </c>
      <c r="B47" s="34" t="s">
        <v>2</v>
      </c>
      <c r="C47" s="35">
        <v>2384733</v>
      </c>
      <c r="D47" s="35">
        <v>547896815</v>
      </c>
      <c r="E47" s="35">
        <v>471836346.87</v>
      </c>
      <c r="F47" s="35">
        <v>3569302120.1599998</v>
      </c>
      <c r="G47" s="35">
        <v>2878352034.8699999</v>
      </c>
      <c r="H47" s="35">
        <v>472789935.75</v>
      </c>
      <c r="I47" s="35">
        <v>-16439782.75</v>
      </c>
      <c r="J47" s="35">
        <v>0</v>
      </c>
      <c r="K47" s="35">
        <v>673556713.65999997</v>
      </c>
    </row>
    <row r="48" spans="1:11" ht="15" customHeight="1">
      <c r="A48" s="34">
        <v>2</v>
      </c>
      <c r="B48" s="34" t="s">
        <v>141</v>
      </c>
      <c r="C48" s="35">
        <v>19847</v>
      </c>
      <c r="D48" s="35">
        <v>12238984</v>
      </c>
      <c r="E48" s="35">
        <v>3230329.29</v>
      </c>
      <c r="F48" s="35">
        <v>79798834.329999998</v>
      </c>
      <c r="G48" s="35">
        <v>58956568.950000003</v>
      </c>
      <c r="H48" s="35">
        <v>15631265.26</v>
      </c>
      <c r="I48" s="35">
        <v>-114228.36</v>
      </c>
      <c r="J48" s="35">
        <v>0</v>
      </c>
      <c r="K48" s="35">
        <v>8327101.0499999998</v>
      </c>
    </row>
    <row r="49" spans="1:11" ht="15" customHeight="1">
      <c r="A49" s="34">
        <v>3</v>
      </c>
      <c r="B49" s="34" t="s">
        <v>142</v>
      </c>
      <c r="C49" s="35">
        <v>260627</v>
      </c>
      <c r="D49" s="35">
        <v>308942121</v>
      </c>
      <c r="E49" s="35">
        <v>-156257486.13999999</v>
      </c>
      <c r="F49" s="35">
        <v>2495638744.9699998</v>
      </c>
      <c r="G49" s="35">
        <v>2019579574.79</v>
      </c>
      <c r="H49" s="35">
        <v>371874649.10000002</v>
      </c>
      <c r="I49" s="35">
        <v>-2477774.7599999998</v>
      </c>
      <c r="J49" s="35">
        <v>0</v>
      </c>
      <c r="K49" s="35">
        <v>-54550739.82</v>
      </c>
    </row>
    <row r="50" spans="1:11" ht="15" customHeight="1">
      <c r="A50" s="34"/>
      <c r="B50" s="34" t="s">
        <v>143</v>
      </c>
      <c r="C50" s="35">
        <v>6576</v>
      </c>
      <c r="D50" s="35">
        <v>8930434</v>
      </c>
      <c r="E50" s="35">
        <v>23443054.57</v>
      </c>
      <c r="F50" s="35">
        <v>98314728.010000005</v>
      </c>
      <c r="G50" s="35">
        <v>91619956.280000001</v>
      </c>
      <c r="H50" s="35">
        <v>4758739.3</v>
      </c>
      <c r="I50" s="35">
        <v>0</v>
      </c>
      <c r="J50" s="35">
        <v>0</v>
      </c>
      <c r="K50" s="35">
        <v>25379087</v>
      </c>
    </row>
    <row r="51" spans="1:11" ht="15" customHeight="1">
      <c r="A51" s="34"/>
      <c r="B51" s="34" t="s">
        <v>144</v>
      </c>
      <c r="C51" s="35">
        <v>267203</v>
      </c>
      <c r="D51" s="35">
        <v>317872555</v>
      </c>
      <c r="E51" s="35">
        <v>-132814431.56999999</v>
      </c>
      <c r="F51" s="35">
        <v>2593953472.98</v>
      </c>
      <c r="G51" s="35">
        <v>2111199531.0699999</v>
      </c>
      <c r="H51" s="35">
        <v>376633388.39999998</v>
      </c>
      <c r="I51" s="35">
        <v>-2477774.7599999998</v>
      </c>
      <c r="J51" s="35">
        <v>0</v>
      </c>
      <c r="K51" s="35">
        <v>-29171652.82</v>
      </c>
    </row>
    <row r="52" spans="1:11" ht="15" customHeight="1">
      <c r="A52" s="34">
        <v>4</v>
      </c>
      <c r="B52" s="34" t="s">
        <v>145</v>
      </c>
      <c r="C52" s="35">
        <v>13492</v>
      </c>
      <c r="D52" s="35">
        <v>48527153</v>
      </c>
      <c r="E52" s="35">
        <v>979163001.65999997</v>
      </c>
      <c r="F52" s="35">
        <v>272799957.49000001</v>
      </c>
      <c r="G52" s="35">
        <v>78442734.340000004</v>
      </c>
      <c r="H52" s="35">
        <v>152753672.34</v>
      </c>
      <c r="I52" s="35">
        <v>200807.96</v>
      </c>
      <c r="J52" s="35">
        <v>0</v>
      </c>
      <c r="K52" s="35">
        <v>1020967360.4299999</v>
      </c>
    </row>
    <row r="53" spans="1:11" ht="15" customHeight="1">
      <c r="A53" s="34">
        <v>5</v>
      </c>
      <c r="B53" s="34" t="s">
        <v>5</v>
      </c>
      <c r="C53" s="35">
        <v>99192</v>
      </c>
      <c r="D53" s="35">
        <v>168792969</v>
      </c>
      <c r="E53" s="35">
        <v>-22582241.07</v>
      </c>
      <c r="F53" s="35">
        <v>234363026.77000001</v>
      </c>
      <c r="G53" s="35">
        <v>168649386.06</v>
      </c>
      <c r="H53" s="35">
        <v>27290415.550000001</v>
      </c>
      <c r="I53" s="35">
        <v>-796393.56</v>
      </c>
      <c r="J53" s="35">
        <v>0</v>
      </c>
      <c r="K53" s="35">
        <v>15044590.529999999</v>
      </c>
    </row>
    <row r="54" spans="1:11" ht="15" customHeight="1">
      <c r="A54" s="34">
        <v>6</v>
      </c>
      <c r="B54" s="34" t="s">
        <v>146</v>
      </c>
      <c r="C54" s="35">
        <v>6456</v>
      </c>
      <c r="D54" s="35">
        <v>15223858</v>
      </c>
      <c r="E54" s="35">
        <v>113139182.73999999</v>
      </c>
      <c r="F54" s="35">
        <v>98874088.390000001</v>
      </c>
      <c r="G54" s="35">
        <v>71694102.209999993</v>
      </c>
      <c r="H54" s="35">
        <v>16941795.59</v>
      </c>
      <c r="I54" s="35">
        <v>-146960.23000000001</v>
      </c>
      <c r="J54" s="35">
        <v>0</v>
      </c>
      <c r="K54" s="35">
        <v>123230413.09999999</v>
      </c>
    </row>
    <row r="55" spans="1:11" ht="15" customHeight="1">
      <c r="A55" s="34">
        <v>7</v>
      </c>
      <c r="B55" s="34" t="s">
        <v>147</v>
      </c>
      <c r="C55" s="35">
        <v>135936</v>
      </c>
      <c r="D55" s="35">
        <v>254352</v>
      </c>
      <c r="E55" s="35">
        <v>282473331.19</v>
      </c>
      <c r="F55" s="35">
        <v>4556484.72</v>
      </c>
      <c r="G55" s="35">
        <v>9439530.5</v>
      </c>
      <c r="H55" s="35">
        <v>2520494.13</v>
      </c>
      <c r="I55" s="35">
        <v>19784981.780000001</v>
      </c>
      <c r="J55" s="35">
        <v>0</v>
      </c>
      <c r="K55" s="35">
        <v>294854773.06</v>
      </c>
    </row>
    <row r="56" spans="1:11" ht="15" customHeight="1">
      <c r="A56" s="34">
        <v>8</v>
      </c>
      <c r="B56" s="34" t="s">
        <v>148</v>
      </c>
      <c r="C56" s="35">
        <v>4324</v>
      </c>
      <c r="D56" s="35">
        <v>0</v>
      </c>
      <c r="E56" s="35">
        <v>1332331.42</v>
      </c>
      <c r="F56" s="35">
        <v>1389112.42</v>
      </c>
      <c r="G56" s="35">
        <v>567985.43999999994</v>
      </c>
      <c r="H56" s="35">
        <v>568145.06000000006</v>
      </c>
      <c r="I56" s="35">
        <v>-10650.08</v>
      </c>
      <c r="J56" s="35">
        <v>0</v>
      </c>
      <c r="K56" s="35">
        <v>1574663.26</v>
      </c>
    </row>
    <row r="57" spans="1:11" ht="15" customHeight="1">
      <c r="A57" s="34">
        <v>9</v>
      </c>
      <c r="B57" s="34" t="s">
        <v>149</v>
      </c>
      <c r="C57" s="35">
        <v>2216</v>
      </c>
      <c r="D57" s="35">
        <v>740096</v>
      </c>
      <c r="E57" s="35">
        <v>53130210.409999996</v>
      </c>
      <c r="F57" s="35">
        <v>4073417.13</v>
      </c>
      <c r="G57" s="35">
        <v>3613576.49</v>
      </c>
      <c r="H57" s="35">
        <v>-29470.62</v>
      </c>
      <c r="I57" s="35">
        <v>0</v>
      </c>
      <c r="J57" s="35">
        <v>0</v>
      </c>
      <c r="K57" s="35">
        <v>53619521.670000002</v>
      </c>
    </row>
    <row r="58" spans="1:11" ht="15" customHeight="1">
      <c r="A58" s="34">
        <v>10</v>
      </c>
      <c r="B58" s="34" t="s">
        <v>179</v>
      </c>
      <c r="C58" s="35">
        <v>0</v>
      </c>
      <c r="D58" s="35">
        <v>0</v>
      </c>
      <c r="E58" s="35">
        <v>-747024.08</v>
      </c>
      <c r="F58" s="35">
        <v>0</v>
      </c>
      <c r="G58" s="35">
        <v>806193.65</v>
      </c>
      <c r="H58" s="35">
        <v>-910101.61</v>
      </c>
      <c r="I58" s="35">
        <v>0</v>
      </c>
      <c r="J58" s="35">
        <v>0</v>
      </c>
      <c r="K58" s="35">
        <v>-643116.12</v>
      </c>
    </row>
    <row r="59" spans="1:11" ht="15" customHeight="1">
      <c r="A59" s="34">
        <v>11</v>
      </c>
      <c r="B59" s="34" t="s">
        <v>180</v>
      </c>
      <c r="C59" s="35">
        <v>2784347</v>
      </c>
      <c r="D59" s="35">
        <v>1101621900</v>
      </c>
      <c r="E59" s="35">
        <v>1387782109.27</v>
      </c>
      <c r="F59" s="35">
        <v>6750776772.1099997</v>
      </c>
      <c r="G59" s="35">
        <v>5276480594.8699999</v>
      </c>
      <c r="H59" s="35">
        <v>1056371631.98</v>
      </c>
      <c r="I59" s="35">
        <v>-19774331.699999999</v>
      </c>
      <c r="J59" s="35">
        <v>0</v>
      </c>
      <c r="K59" s="35">
        <v>1785932322.8299999</v>
      </c>
    </row>
    <row r="60" spans="1:11" ht="15" customHeight="1">
      <c r="A60" s="34">
        <v>12</v>
      </c>
      <c r="B60" s="34" t="s">
        <v>164</v>
      </c>
      <c r="C60" s="35">
        <v>140260</v>
      </c>
      <c r="D60" s="35">
        <v>254352</v>
      </c>
      <c r="E60" s="35">
        <v>283805662.61000001</v>
      </c>
      <c r="F60" s="35">
        <v>5945597.1399999997</v>
      </c>
      <c r="G60" s="35">
        <v>10007515.939999999</v>
      </c>
      <c r="H60" s="35">
        <v>3088639.19</v>
      </c>
      <c r="I60" s="35">
        <v>19774331.699999999</v>
      </c>
      <c r="J60" s="35">
        <v>0</v>
      </c>
      <c r="K60" s="35">
        <v>296429436.31999999</v>
      </c>
    </row>
    <row r="61" spans="1:11" ht="15" customHeight="1">
      <c r="A61" s="34">
        <v>13</v>
      </c>
      <c r="B61" s="34" t="s">
        <v>152</v>
      </c>
      <c r="C61" s="35">
        <v>8792</v>
      </c>
      <c r="D61" s="35">
        <v>9670530</v>
      </c>
      <c r="E61" s="35">
        <v>76573264.980000004</v>
      </c>
      <c r="F61" s="35">
        <v>102388145.14</v>
      </c>
      <c r="G61" s="35">
        <v>95233532.769999996</v>
      </c>
      <c r="H61" s="35">
        <v>4729268.68</v>
      </c>
      <c r="I61" s="35">
        <v>0</v>
      </c>
      <c r="J61" s="35">
        <v>0</v>
      </c>
      <c r="K61" s="35">
        <v>78998608.670000002</v>
      </c>
    </row>
    <row r="62" spans="1:11" ht="15" customHeight="1">
      <c r="A62" s="34">
        <v>14</v>
      </c>
      <c r="B62" s="34" t="s">
        <v>153</v>
      </c>
      <c r="C62" s="35">
        <v>2933399</v>
      </c>
      <c r="D62" s="35">
        <v>1111546782</v>
      </c>
      <c r="E62" s="35">
        <v>1748161036.8599999</v>
      </c>
      <c r="F62" s="35">
        <v>6859110514.3900003</v>
      </c>
      <c r="G62" s="35">
        <v>5381721643.5799999</v>
      </c>
      <c r="H62" s="35">
        <v>1064189539.85</v>
      </c>
      <c r="I62" s="35">
        <v>0</v>
      </c>
      <c r="J62" s="35">
        <v>0</v>
      </c>
      <c r="K62" s="35">
        <v>2161360367.8200002</v>
      </c>
    </row>
    <row r="63" spans="1:11" ht="15" customHeight="1">
      <c r="A63" s="33" t="s">
        <v>140</v>
      </c>
      <c r="B63" s="33"/>
      <c r="C63" s="33"/>
      <c r="D63" s="33"/>
      <c r="E63" s="33"/>
      <c r="F63" s="33"/>
      <c r="G63" s="33"/>
      <c r="H63" s="33"/>
      <c r="I63" s="33"/>
      <c r="J63" s="33"/>
      <c r="K63" s="33"/>
    </row>
    <row r="64" spans="1:11" ht="15" customHeight="1">
      <c r="A64" s="33" t="s">
        <v>181</v>
      </c>
      <c r="B64" s="33"/>
      <c r="C64" s="33"/>
      <c r="D64" s="33"/>
      <c r="E64" s="33"/>
      <c r="F64" s="33"/>
      <c r="G64" s="33"/>
      <c r="H64" s="33"/>
      <c r="I64" s="33"/>
      <c r="J64" s="33"/>
      <c r="K64" s="33"/>
    </row>
    <row r="65" spans="1:11" ht="15" customHeight="1">
      <c r="A65" s="33" t="s">
        <v>140</v>
      </c>
      <c r="B65" s="33"/>
      <c r="C65" s="33"/>
      <c r="D65" s="33"/>
      <c r="E65" s="33"/>
      <c r="F65" s="33"/>
      <c r="G65" s="33"/>
      <c r="H65" s="33"/>
      <c r="I65" s="33"/>
      <c r="J65" s="33"/>
      <c r="K65" s="33"/>
    </row>
    <row r="66" spans="1:11" ht="15" customHeight="1">
      <c r="A66" s="31" t="s">
        <v>129</v>
      </c>
      <c r="B66" s="31" t="s">
        <v>130</v>
      </c>
      <c r="C66" s="32" t="s">
        <v>179</v>
      </c>
      <c r="D66" s="32" t="s">
        <v>182</v>
      </c>
      <c r="E66" s="32" t="s">
        <v>183</v>
      </c>
      <c r="F66" s="32" t="s">
        <v>184</v>
      </c>
      <c r="G66" s="32" t="s">
        <v>185</v>
      </c>
      <c r="H66" s="32" t="s">
        <v>186</v>
      </c>
      <c r="I66" s="32" t="s">
        <v>187</v>
      </c>
      <c r="J66" s="32" t="s">
        <v>188</v>
      </c>
      <c r="K66" s="35"/>
    </row>
    <row r="67" spans="1:11" ht="15" customHeight="1">
      <c r="A67" s="34"/>
      <c r="B67" s="34"/>
      <c r="C67" s="32" t="s">
        <v>189</v>
      </c>
      <c r="D67" s="32" t="s">
        <v>190</v>
      </c>
      <c r="E67" s="32" t="s">
        <v>191</v>
      </c>
      <c r="F67" s="32" t="s">
        <v>192</v>
      </c>
      <c r="G67" s="32" t="s">
        <v>193</v>
      </c>
      <c r="H67" s="32" t="s">
        <v>163</v>
      </c>
      <c r="I67" s="32" t="s">
        <v>194</v>
      </c>
      <c r="J67" s="32" t="s">
        <v>195</v>
      </c>
      <c r="K67" s="32" t="s">
        <v>144</v>
      </c>
    </row>
    <row r="68" spans="1:11" ht="15" customHeight="1">
      <c r="A68" s="33" t="s">
        <v>140</v>
      </c>
      <c r="B68" s="33"/>
      <c r="C68" s="33"/>
      <c r="D68" s="33"/>
      <c r="E68" s="33"/>
      <c r="F68" s="33"/>
      <c r="G68" s="33"/>
      <c r="H68" s="33"/>
      <c r="I68" s="33"/>
      <c r="J68" s="33"/>
      <c r="K68" s="33"/>
    </row>
    <row r="69" spans="1:11" ht="15" customHeight="1">
      <c r="A69" s="34">
        <v>1</v>
      </c>
      <c r="B69" s="34" t="s">
        <v>2</v>
      </c>
      <c r="C69" s="35">
        <v>676896.21</v>
      </c>
      <c r="D69" s="35">
        <v>396889374.73000002</v>
      </c>
      <c r="E69" s="35">
        <v>52620828.579999998</v>
      </c>
      <c r="F69" s="35">
        <v>-11156.78</v>
      </c>
      <c r="G69" s="35">
        <v>22613993.010000002</v>
      </c>
      <c r="H69" s="35">
        <v>0</v>
      </c>
      <c r="I69" s="35">
        <v>0</v>
      </c>
      <c r="J69" s="35">
        <v>0</v>
      </c>
      <c r="K69" s="35">
        <v>472789935.75</v>
      </c>
    </row>
    <row r="70" spans="1:11" ht="15" customHeight="1">
      <c r="A70" s="34">
        <v>2</v>
      </c>
      <c r="B70" s="34" t="s">
        <v>141</v>
      </c>
      <c r="C70" s="35">
        <v>510</v>
      </c>
      <c r="D70" s="35">
        <v>3998473.44</v>
      </c>
      <c r="E70" s="35">
        <v>2756635.8</v>
      </c>
      <c r="F70" s="35">
        <v>0</v>
      </c>
      <c r="G70" s="35">
        <v>1144315.07</v>
      </c>
      <c r="H70" s="35">
        <v>7701400.0800000001</v>
      </c>
      <c r="I70" s="35">
        <v>0</v>
      </c>
      <c r="J70" s="35">
        <v>29930.87</v>
      </c>
      <c r="K70" s="35">
        <v>15631265.26</v>
      </c>
    </row>
    <row r="71" spans="1:11" ht="15" customHeight="1">
      <c r="A71" s="34">
        <v>3</v>
      </c>
      <c r="B71" s="34" t="s">
        <v>142</v>
      </c>
      <c r="C71" s="35">
        <v>213935.94</v>
      </c>
      <c r="D71" s="35">
        <v>169089710.22999999</v>
      </c>
      <c r="E71" s="35">
        <v>70601060.400000006</v>
      </c>
      <c r="F71" s="35">
        <v>120635842.39</v>
      </c>
      <c r="G71" s="35">
        <v>11334100.140000001</v>
      </c>
      <c r="H71" s="35">
        <v>0</v>
      </c>
      <c r="I71" s="35">
        <v>0</v>
      </c>
      <c r="J71" s="35">
        <v>0</v>
      </c>
      <c r="K71" s="35">
        <v>371874649.10000002</v>
      </c>
    </row>
    <row r="72" spans="1:11" ht="15" customHeight="1">
      <c r="A72" s="34"/>
      <c r="B72" s="34" t="s">
        <v>143</v>
      </c>
      <c r="C72" s="35"/>
      <c r="D72" s="35">
        <v>1889298.78</v>
      </c>
      <c r="E72" s="35">
        <v>2864053.84</v>
      </c>
      <c r="F72" s="35">
        <v>5386.68</v>
      </c>
      <c r="G72" s="35"/>
      <c r="H72" s="35"/>
      <c r="I72" s="35"/>
      <c r="J72" s="35"/>
      <c r="K72" s="35">
        <v>4758739.3</v>
      </c>
    </row>
    <row r="73" spans="1:11" ht="15" customHeight="1">
      <c r="A73" s="34"/>
      <c r="B73" s="34" t="s">
        <v>144</v>
      </c>
      <c r="C73" s="35">
        <v>213935.94</v>
      </c>
      <c r="D73" s="35">
        <v>170979009.00999999</v>
      </c>
      <c r="E73" s="35">
        <v>73465114.239999995</v>
      </c>
      <c r="F73" s="35">
        <v>120641229.06999999</v>
      </c>
      <c r="G73" s="35">
        <v>11334100.140000001</v>
      </c>
      <c r="H73" s="35">
        <v>0</v>
      </c>
      <c r="I73" s="35">
        <v>0</v>
      </c>
      <c r="J73" s="35">
        <v>0</v>
      </c>
      <c r="K73" s="35">
        <v>376633388.39999998</v>
      </c>
    </row>
    <row r="74" spans="1:11" ht="15" customHeight="1">
      <c r="A74" s="34">
        <v>4</v>
      </c>
      <c r="B74" s="34" t="s">
        <v>145</v>
      </c>
      <c r="C74" s="35">
        <v>0</v>
      </c>
      <c r="D74" s="35">
        <v>11034658.880000001</v>
      </c>
      <c r="E74" s="35">
        <v>4158318.73</v>
      </c>
      <c r="F74" s="35">
        <v>4259002.55</v>
      </c>
      <c r="G74" s="35">
        <v>2660400.7999999998</v>
      </c>
      <c r="H74" s="35">
        <v>130641291.38</v>
      </c>
      <c r="I74" s="35">
        <v>0</v>
      </c>
      <c r="J74" s="35">
        <v>0</v>
      </c>
      <c r="K74" s="35">
        <v>152753672.34</v>
      </c>
    </row>
    <row r="75" spans="1:11" ht="15" customHeight="1">
      <c r="A75" s="34">
        <v>5</v>
      </c>
      <c r="B75" s="34" t="s">
        <v>5</v>
      </c>
      <c r="C75" s="35">
        <v>3944</v>
      </c>
      <c r="D75" s="35">
        <v>7038904.7400000002</v>
      </c>
      <c r="E75" s="35">
        <v>16782524.280000001</v>
      </c>
      <c r="F75" s="35">
        <v>0</v>
      </c>
      <c r="G75" s="35">
        <v>3465042.53</v>
      </c>
      <c r="H75" s="35">
        <v>0</v>
      </c>
      <c r="I75" s="35">
        <v>0</v>
      </c>
      <c r="J75" s="35">
        <v>0</v>
      </c>
      <c r="K75" s="35">
        <v>27290415.550000001</v>
      </c>
    </row>
    <row r="76" spans="1:11" ht="15" customHeight="1">
      <c r="A76" s="34">
        <v>6</v>
      </c>
      <c r="B76" s="34" t="s">
        <v>146</v>
      </c>
      <c r="C76" s="35">
        <v>14815.46</v>
      </c>
      <c r="D76" s="35">
        <v>14875892.949999999</v>
      </c>
      <c r="E76" s="35">
        <v>1945850.05</v>
      </c>
      <c r="F76" s="35">
        <v>-36525.760000000002</v>
      </c>
      <c r="G76" s="35">
        <v>141762.89000000001</v>
      </c>
      <c r="H76" s="35">
        <v>0</v>
      </c>
      <c r="I76" s="35">
        <v>0</v>
      </c>
      <c r="J76" s="35">
        <v>0</v>
      </c>
      <c r="K76" s="35">
        <v>16941795.59</v>
      </c>
    </row>
    <row r="77" spans="1:11" ht="15" customHeight="1">
      <c r="A77" s="34">
        <v>7</v>
      </c>
      <c r="B77" s="34" t="s">
        <v>147</v>
      </c>
      <c r="C77" s="35">
        <v>0</v>
      </c>
      <c r="D77" s="35">
        <v>1409218.22</v>
      </c>
      <c r="E77" s="35">
        <v>1097712.6200000001</v>
      </c>
      <c r="F77" s="35">
        <v>1805.77</v>
      </c>
      <c r="G77" s="35">
        <v>0</v>
      </c>
      <c r="H77" s="35">
        <v>658.4</v>
      </c>
      <c r="I77" s="35">
        <v>0</v>
      </c>
      <c r="J77" s="35">
        <v>11099.12</v>
      </c>
      <c r="K77" s="35">
        <v>2520494.13</v>
      </c>
    </row>
    <row r="78" spans="1:11" ht="15" customHeight="1">
      <c r="A78" s="34">
        <v>8</v>
      </c>
      <c r="B78" s="34" t="s">
        <v>148</v>
      </c>
      <c r="C78" s="35">
        <v>0</v>
      </c>
      <c r="D78" s="35">
        <v>1704.02</v>
      </c>
      <c r="E78" s="35">
        <v>549022.04</v>
      </c>
      <c r="F78" s="35">
        <v>17419</v>
      </c>
      <c r="G78" s="35">
        <v>0</v>
      </c>
      <c r="H78" s="35">
        <v>0</v>
      </c>
      <c r="I78" s="35">
        <v>0</v>
      </c>
      <c r="J78" s="35">
        <v>0</v>
      </c>
      <c r="K78" s="35">
        <v>568145.06000000006</v>
      </c>
    </row>
    <row r="79" spans="1:11" ht="15" customHeight="1">
      <c r="A79" s="34">
        <v>9</v>
      </c>
      <c r="B79" s="34" t="s">
        <v>149</v>
      </c>
      <c r="C79" s="35"/>
      <c r="D79" s="35">
        <v>4579.8</v>
      </c>
      <c r="E79" s="35">
        <v>-34050.42</v>
      </c>
      <c r="F79" s="35">
        <v>0</v>
      </c>
      <c r="G79" s="35"/>
      <c r="H79" s="35"/>
      <c r="I79" s="35"/>
      <c r="J79" s="35"/>
      <c r="K79" s="35">
        <v>-29470.62</v>
      </c>
    </row>
    <row r="80" spans="1:11" ht="15" customHeight="1">
      <c r="A80" s="34">
        <v>10</v>
      </c>
      <c r="B80" s="34" t="s">
        <v>179</v>
      </c>
      <c r="C80" s="35">
        <v>-910101.61</v>
      </c>
      <c r="D80" s="35">
        <v>0</v>
      </c>
      <c r="E80" s="35">
        <v>0</v>
      </c>
      <c r="F80" s="35">
        <v>0</v>
      </c>
      <c r="G80" s="35">
        <v>0</v>
      </c>
      <c r="H80" s="35">
        <v>0</v>
      </c>
      <c r="I80" s="35">
        <v>0</v>
      </c>
      <c r="J80" s="35">
        <v>0</v>
      </c>
      <c r="K80" s="35">
        <v>-910101.61</v>
      </c>
    </row>
    <row r="81" spans="1:13" ht="15" customHeight="1">
      <c r="A81" s="34">
        <v>11</v>
      </c>
      <c r="B81" s="34" t="s">
        <v>150</v>
      </c>
      <c r="C81" s="35">
        <v>0</v>
      </c>
      <c r="D81" s="35">
        <v>602927014.97000003</v>
      </c>
      <c r="E81" s="35">
        <v>148865217.84</v>
      </c>
      <c r="F81" s="35">
        <v>124847162.40000001</v>
      </c>
      <c r="G81" s="35">
        <v>41359614.439999998</v>
      </c>
      <c r="H81" s="35">
        <v>138342691.46000001</v>
      </c>
      <c r="I81" s="35">
        <v>0</v>
      </c>
      <c r="J81" s="35">
        <v>29930.87</v>
      </c>
      <c r="K81" s="35">
        <v>1056371631.98</v>
      </c>
    </row>
    <row r="82" spans="1:13" ht="15" customHeight="1">
      <c r="A82" s="34">
        <v>12</v>
      </c>
      <c r="B82" s="34" t="s">
        <v>164</v>
      </c>
      <c r="C82" s="35">
        <v>0</v>
      </c>
      <c r="D82" s="35">
        <v>1410922.24</v>
      </c>
      <c r="E82" s="35">
        <v>1646734.66</v>
      </c>
      <c r="F82" s="35">
        <v>19224.77</v>
      </c>
      <c r="G82" s="35">
        <v>0</v>
      </c>
      <c r="H82" s="35">
        <v>658.4</v>
      </c>
      <c r="I82" s="35">
        <v>0</v>
      </c>
      <c r="J82" s="35">
        <v>11099.12</v>
      </c>
      <c r="K82" s="35">
        <v>3088639.19</v>
      </c>
    </row>
    <row r="83" spans="1:13" ht="15" customHeight="1">
      <c r="A83" s="34">
        <v>13</v>
      </c>
      <c r="B83" s="34" t="s">
        <v>152</v>
      </c>
      <c r="C83" s="35">
        <v>0</v>
      </c>
      <c r="D83" s="35">
        <v>1893878.58</v>
      </c>
      <c r="E83" s="35">
        <v>2830003.42</v>
      </c>
      <c r="F83" s="35">
        <v>5386.68</v>
      </c>
      <c r="G83" s="35">
        <v>0</v>
      </c>
      <c r="H83" s="35">
        <v>0</v>
      </c>
      <c r="I83" s="35">
        <v>0</v>
      </c>
      <c r="J83" s="35">
        <v>0</v>
      </c>
      <c r="K83" s="35">
        <v>4729268.68</v>
      </c>
    </row>
    <row r="84" spans="1:13" ht="15" customHeight="1">
      <c r="A84" s="34">
        <v>14</v>
      </c>
      <c r="B84" s="34" t="s">
        <v>153</v>
      </c>
      <c r="C84" s="35">
        <v>0</v>
      </c>
      <c r="D84" s="35">
        <v>606231815.78999996</v>
      </c>
      <c r="E84" s="35">
        <v>153341955.91999999</v>
      </c>
      <c r="F84" s="35">
        <v>124871773.84999999</v>
      </c>
      <c r="G84" s="35">
        <v>41359614.439999998</v>
      </c>
      <c r="H84" s="35">
        <v>138343349.86000001</v>
      </c>
      <c r="I84" s="35">
        <v>0</v>
      </c>
      <c r="J84" s="35">
        <v>41029.99</v>
      </c>
      <c r="K84" s="35">
        <v>1064189539.85</v>
      </c>
    </row>
    <row r="85" spans="1:13" ht="15" customHeight="1">
      <c r="A85" s="33" t="s">
        <v>140</v>
      </c>
      <c r="B85" s="33"/>
      <c r="C85" s="33"/>
      <c r="D85" s="33"/>
      <c r="E85" s="33"/>
      <c r="F85" s="33"/>
      <c r="G85" s="33"/>
      <c r="H85" s="33"/>
      <c r="I85" s="33"/>
      <c r="J85" s="33"/>
      <c r="K85" s="33"/>
    </row>
    <row r="93" spans="1:13" ht="15" customHeight="1">
      <c r="B93" s="38" t="s">
        <v>196</v>
      </c>
      <c r="C93" s="38"/>
      <c r="D93" s="38"/>
      <c r="E93" s="38"/>
      <c r="F93" s="38"/>
    </row>
    <row r="94" spans="1:13" ht="15" customHeight="1">
      <c r="B94" s="39"/>
      <c r="C94" s="39"/>
      <c r="D94" s="39"/>
      <c r="E94" s="39"/>
      <c r="F94" s="39"/>
    </row>
    <row r="95" spans="1:13" ht="15" customHeight="1">
      <c r="B95" s="38" t="s">
        <v>197</v>
      </c>
      <c r="C95" s="38"/>
      <c r="D95" s="38"/>
      <c r="E95" s="38"/>
      <c r="F95" s="38"/>
      <c r="G95" s="38"/>
      <c r="H95" s="38"/>
      <c r="I95" s="38"/>
      <c r="J95" s="38"/>
      <c r="K95" s="38"/>
      <c r="L95" s="38"/>
      <c r="M95" s="38"/>
    </row>
    <row r="96" spans="1:13" ht="15" customHeight="1">
      <c r="B96" s="40" t="s">
        <v>198</v>
      </c>
      <c r="C96" s="41" t="s">
        <v>199</v>
      </c>
      <c r="D96" s="39" t="s">
        <v>200</v>
      </c>
      <c r="E96" s="39" t="s">
        <v>201</v>
      </c>
      <c r="F96" s="39" t="s">
        <v>202</v>
      </c>
      <c r="G96" s="39" t="s">
        <v>203</v>
      </c>
      <c r="H96" s="39" t="s">
        <v>204</v>
      </c>
      <c r="I96" s="39" t="s">
        <v>205</v>
      </c>
      <c r="J96" s="39" t="s">
        <v>206</v>
      </c>
      <c r="K96" s="39" t="s">
        <v>207</v>
      </c>
      <c r="L96" s="39" t="s">
        <v>208</v>
      </c>
      <c r="M96" s="39"/>
    </row>
    <row r="97" spans="2:13" ht="15" customHeight="1">
      <c r="B97" s="38" t="s">
        <v>197</v>
      </c>
      <c r="C97" s="38"/>
      <c r="D97" s="38"/>
      <c r="E97" s="38"/>
      <c r="F97" s="38"/>
      <c r="G97" s="38"/>
      <c r="H97" s="38"/>
      <c r="I97" s="38"/>
      <c r="J97" s="38"/>
      <c r="K97" s="38"/>
      <c r="L97" s="38"/>
      <c r="M97" s="38"/>
    </row>
    <row r="98" spans="2:13" ht="15" customHeight="1">
      <c r="B98" s="40">
        <v>1</v>
      </c>
      <c r="C98" s="41" t="s">
        <v>209</v>
      </c>
      <c r="D98" s="39">
        <v>692603720.38999999</v>
      </c>
      <c r="E98" s="39">
        <v>4495794941.0500002</v>
      </c>
      <c r="F98" s="39">
        <v>228089997.05000001</v>
      </c>
      <c r="G98" s="39">
        <v>1203211432.4200001</v>
      </c>
      <c r="H98" s="39">
        <v>0</v>
      </c>
      <c r="I98" s="39">
        <v>6730906.5899999999</v>
      </c>
      <c r="J98" s="39">
        <v>53726118.039999999</v>
      </c>
      <c r="K98" s="39">
        <v>-63618893.590000004</v>
      </c>
      <c r="L98" s="39">
        <v>-11142206.23</v>
      </c>
      <c r="M98" s="39"/>
    </row>
    <row r="99" spans="2:13" ht="15" customHeight="1">
      <c r="B99" s="40">
        <v>2</v>
      </c>
      <c r="C99" s="41" t="s">
        <v>210</v>
      </c>
      <c r="D99" s="39">
        <v>46307680</v>
      </c>
      <c r="E99" s="39">
        <v>454218764.30000001</v>
      </c>
      <c r="F99" s="39">
        <v>0</v>
      </c>
      <c r="G99" s="39">
        <v>109229986.54000001</v>
      </c>
      <c r="H99" s="39">
        <v>0</v>
      </c>
      <c r="I99" s="39">
        <v>0</v>
      </c>
      <c r="J99" s="39">
        <v>0</v>
      </c>
      <c r="K99" s="39">
        <v>-7437025.4000000004</v>
      </c>
      <c r="L99" s="39">
        <v>-4542187.6399999997</v>
      </c>
      <c r="M99" s="39"/>
    </row>
    <row r="100" spans="2:13" ht="15" customHeight="1">
      <c r="B100" s="40">
        <v>3</v>
      </c>
      <c r="C100" s="41" t="s">
        <v>211</v>
      </c>
      <c r="D100" s="39">
        <v>469560</v>
      </c>
      <c r="E100" s="39">
        <v>490835.9</v>
      </c>
      <c r="F100" s="39">
        <v>0</v>
      </c>
      <c r="G100" s="39">
        <v>0</v>
      </c>
      <c r="H100" s="39">
        <v>0</v>
      </c>
      <c r="I100" s="39">
        <v>37123.879999999997</v>
      </c>
      <c r="J100" s="39">
        <v>0</v>
      </c>
      <c r="K100" s="39">
        <v>-2045.39</v>
      </c>
      <c r="L100" s="39">
        <v>0</v>
      </c>
      <c r="M100" s="39"/>
    </row>
    <row r="101" spans="2:13" ht="15" customHeight="1">
      <c r="B101" s="40">
        <v>4</v>
      </c>
      <c r="C101" s="41" t="s">
        <v>212</v>
      </c>
      <c r="D101" s="39">
        <v>0</v>
      </c>
      <c r="E101" s="39">
        <v>0</v>
      </c>
      <c r="F101" s="39">
        <v>0</v>
      </c>
      <c r="G101" s="39">
        <v>0</v>
      </c>
      <c r="H101" s="39">
        <v>0</v>
      </c>
      <c r="I101" s="39">
        <v>0</v>
      </c>
      <c r="J101" s="39">
        <v>0</v>
      </c>
      <c r="K101" s="39">
        <v>0</v>
      </c>
      <c r="L101" s="39">
        <v>0</v>
      </c>
      <c r="M101" s="39"/>
    </row>
    <row r="102" spans="2:13" ht="15" customHeight="1">
      <c r="B102" s="40">
        <v>5</v>
      </c>
      <c r="C102" s="41" t="s">
        <v>213</v>
      </c>
      <c r="D102" s="39">
        <v>0</v>
      </c>
      <c r="E102" s="39">
        <v>0</v>
      </c>
      <c r="F102" s="39">
        <v>0</v>
      </c>
      <c r="G102" s="39">
        <v>0</v>
      </c>
      <c r="H102" s="39">
        <v>0</v>
      </c>
      <c r="I102" s="39">
        <v>0</v>
      </c>
      <c r="J102" s="39">
        <v>0</v>
      </c>
      <c r="K102" s="39">
        <v>0</v>
      </c>
      <c r="L102" s="39">
        <v>0</v>
      </c>
      <c r="M102" s="39"/>
    </row>
    <row r="103" spans="2:13" ht="15" customHeight="1">
      <c r="B103" s="40">
        <v>6</v>
      </c>
      <c r="C103" s="41" t="s">
        <v>214</v>
      </c>
      <c r="D103" s="39">
        <v>0</v>
      </c>
      <c r="E103" s="39">
        <v>0</v>
      </c>
      <c r="F103" s="39">
        <v>0</v>
      </c>
      <c r="G103" s="39">
        <v>0</v>
      </c>
      <c r="H103" s="39">
        <v>0</v>
      </c>
      <c r="I103" s="39">
        <v>0</v>
      </c>
      <c r="J103" s="39">
        <v>0</v>
      </c>
      <c r="K103" s="39">
        <v>0</v>
      </c>
      <c r="L103" s="39">
        <v>0</v>
      </c>
      <c r="M103" s="39"/>
    </row>
    <row r="104" spans="2:13" ht="15" customHeight="1">
      <c r="B104" s="40">
        <v>7</v>
      </c>
      <c r="C104" s="41" t="s">
        <v>215</v>
      </c>
      <c r="D104" s="39">
        <v>0</v>
      </c>
      <c r="E104" s="39">
        <v>0</v>
      </c>
      <c r="F104" s="39">
        <v>0</v>
      </c>
      <c r="G104" s="39">
        <v>0</v>
      </c>
      <c r="H104" s="39">
        <v>0</v>
      </c>
      <c r="I104" s="39">
        <v>0</v>
      </c>
      <c r="J104" s="39">
        <v>0</v>
      </c>
      <c r="K104" s="39">
        <v>0</v>
      </c>
      <c r="L104" s="39">
        <v>0</v>
      </c>
      <c r="M104" s="39"/>
    </row>
    <row r="105" spans="2:13" ht="15" customHeight="1">
      <c r="B105" s="40">
        <v>8</v>
      </c>
      <c r="C105" s="41" t="s">
        <v>216</v>
      </c>
      <c r="D105" s="39">
        <v>0</v>
      </c>
      <c r="E105" s="39">
        <v>0</v>
      </c>
      <c r="F105" s="39">
        <v>0</v>
      </c>
      <c r="G105" s="39">
        <v>0</v>
      </c>
      <c r="H105" s="39">
        <v>0</v>
      </c>
      <c r="I105" s="39">
        <v>0</v>
      </c>
      <c r="J105" s="39">
        <v>186372.62</v>
      </c>
      <c r="K105" s="39">
        <v>0</v>
      </c>
      <c r="L105" s="39">
        <v>0</v>
      </c>
      <c r="M105" s="39"/>
    </row>
    <row r="106" spans="2:13" ht="15" customHeight="1">
      <c r="B106" s="40">
        <v>9</v>
      </c>
      <c r="C106" s="41" t="s">
        <v>148</v>
      </c>
      <c r="D106" s="39">
        <v>9967895.7400000002</v>
      </c>
      <c r="E106" s="39">
        <v>0</v>
      </c>
      <c r="F106" s="39">
        <v>0</v>
      </c>
      <c r="G106" s="39">
        <v>0</v>
      </c>
      <c r="H106" s="39">
        <v>0</v>
      </c>
      <c r="I106" s="39">
        <v>0</v>
      </c>
      <c r="J106" s="39">
        <v>200288</v>
      </c>
      <c r="K106" s="39">
        <v>0</v>
      </c>
      <c r="L106" s="39">
        <v>0</v>
      </c>
      <c r="M106" s="39"/>
    </row>
    <row r="107" spans="2:13" ht="15" customHeight="1">
      <c r="B107" s="40">
        <v>10</v>
      </c>
      <c r="C107" s="41" t="s">
        <v>217</v>
      </c>
      <c r="D107" s="39">
        <v>1710700</v>
      </c>
      <c r="E107" s="39">
        <v>12852778</v>
      </c>
      <c r="F107" s="39">
        <v>380456.65</v>
      </c>
      <c r="G107" s="39">
        <v>3556151.92</v>
      </c>
      <c r="H107" s="39">
        <v>0</v>
      </c>
      <c r="I107" s="39">
        <v>384611.36</v>
      </c>
      <c r="J107" s="39">
        <v>0</v>
      </c>
      <c r="K107" s="39">
        <v>-84009.48</v>
      </c>
      <c r="L107" s="39">
        <v>0</v>
      </c>
      <c r="M107" s="39"/>
    </row>
    <row r="108" spans="2:13" ht="15" customHeight="1">
      <c r="B108" s="38" t="s">
        <v>197</v>
      </c>
      <c r="C108" s="38"/>
      <c r="D108" s="38"/>
      <c r="E108" s="38"/>
      <c r="F108" s="38"/>
      <c r="G108" s="38"/>
      <c r="H108" s="38"/>
      <c r="I108" s="38"/>
      <c r="J108" s="38"/>
      <c r="K108" s="38"/>
      <c r="L108" s="38"/>
      <c r="M108" s="38"/>
    </row>
    <row r="109" spans="2:13" ht="15" customHeight="1">
      <c r="B109" s="42" t="s">
        <v>218</v>
      </c>
      <c r="C109" s="42"/>
      <c r="D109" s="39">
        <v>751059556.13</v>
      </c>
      <c r="E109" s="39">
        <v>4963357319.25</v>
      </c>
      <c r="F109" s="39">
        <v>228470453.69999999</v>
      </c>
      <c r="G109" s="39">
        <v>1315997570.8800001</v>
      </c>
      <c r="H109" s="39">
        <v>0</v>
      </c>
      <c r="I109" s="39">
        <v>7152641.8300000001</v>
      </c>
      <c r="J109" s="39">
        <v>54112778.659999996</v>
      </c>
      <c r="K109" s="39">
        <v>-71141973.859999999</v>
      </c>
      <c r="L109" s="39">
        <v>-15684393.869999999</v>
      </c>
      <c r="M109" s="39"/>
    </row>
    <row r="110" spans="2:13" ht="15" customHeight="1">
      <c r="B110" s="38" t="s">
        <v>197</v>
      </c>
      <c r="C110" s="38"/>
      <c r="D110" s="38"/>
      <c r="E110" s="38"/>
      <c r="F110" s="38"/>
      <c r="G110" s="38"/>
      <c r="H110" s="38"/>
      <c r="I110" s="38"/>
      <c r="J110" s="38"/>
      <c r="K110" s="38"/>
      <c r="L110" s="38"/>
      <c r="M110" s="3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B1:L32"/>
  <sheetViews>
    <sheetView view="pageBreakPreview" zoomScale="60" workbookViewId="0">
      <selection activeCell="T11" sqref="T11"/>
    </sheetView>
  </sheetViews>
  <sheetFormatPr defaultRowHeight="12.75"/>
  <cols>
    <col min="1" max="1" width="1.5703125" style="275" customWidth="1"/>
    <col min="2" max="2" width="9.140625" style="275" customWidth="1"/>
    <col min="3" max="3" width="12.28515625" style="275" customWidth="1"/>
    <col min="4" max="4" width="9.140625" style="275" customWidth="1"/>
    <col min="5" max="5" width="14.7109375" style="275" customWidth="1"/>
    <col min="6" max="6" width="9.140625" style="275" customWidth="1"/>
    <col min="7" max="7" width="2" style="275" customWidth="1"/>
    <col min="8" max="8" width="9.140625" style="275"/>
    <col min="9" max="9" width="14.7109375" style="275" customWidth="1"/>
    <col min="10" max="10" width="9.140625" style="275"/>
    <col min="11" max="11" width="14.5703125" style="275" customWidth="1"/>
    <col min="12" max="12" width="16.42578125" style="275" customWidth="1"/>
    <col min="13" max="16384" width="9.140625" style="275"/>
  </cols>
  <sheetData>
    <row r="1" spans="2:12" ht="24.75" customHeight="1" thickBot="1">
      <c r="B1" s="385" t="s">
        <v>260</v>
      </c>
      <c r="C1" s="386"/>
      <c r="D1" s="386"/>
      <c r="E1" s="386"/>
      <c r="F1" s="386"/>
      <c r="G1" s="386"/>
      <c r="H1" s="386"/>
      <c r="I1" s="386"/>
      <c r="J1" s="386"/>
      <c r="K1" s="386"/>
      <c r="L1" s="387"/>
    </row>
    <row r="2" spans="2:12" ht="5.25" customHeight="1">
      <c r="B2" s="276"/>
      <c r="C2" s="276"/>
      <c r="D2" s="276"/>
      <c r="E2" s="276"/>
      <c r="F2" s="276"/>
      <c r="G2" s="276"/>
      <c r="H2" s="276"/>
      <c r="I2" s="276"/>
      <c r="J2" s="276"/>
      <c r="K2" s="276"/>
      <c r="L2" s="277"/>
    </row>
    <row r="3" spans="2:12" ht="21.75" customHeight="1" thickBot="1">
      <c r="B3" s="388" t="s">
        <v>261</v>
      </c>
      <c r="C3" s="389"/>
      <c r="D3" s="389"/>
      <c r="E3" s="389"/>
      <c r="F3" s="389"/>
      <c r="G3" s="389"/>
      <c r="H3" s="389"/>
      <c r="I3" s="389"/>
      <c r="J3" s="389"/>
      <c r="K3" s="389"/>
      <c r="L3" s="390"/>
    </row>
    <row r="4" spans="2:12" ht="27.75" customHeight="1">
      <c r="B4" s="380" t="s">
        <v>199</v>
      </c>
      <c r="C4" s="381" t="s">
        <v>262</v>
      </c>
      <c r="D4" s="381" t="s">
        <v>263</v>
      </c>
      <c r="E4" s="381"/>
      <c r="F4" s="381"/>
      <c r="G4" s="278"/>
      <c r="H4" s="381" t="s">
        <v>264</v>
      </c>
      <c r="I4" s="381"/>
      <c r="J4" s="381"/>
      <c r="K4" s="381" t="s">
        <v>265</v>
      </c>
      <c r="L4" s="383" t="s">
        <v>266</v>
      </c>
    </row>
    <row r="5" spans="2:12" ht="68.25" customHeight="1">
      <c r="B5" s="369"/>
      <c r="C5" s="382"/>
      <c r="D5" s="279" t="s">
        <v>267</v>
      </c>
      <c r="E5" s="279" t="s">
        <v>268</v>
      </c>
      <c r="F5" s="279" t="s">
        <v>269</v>
      </c>
      <c r="G5" s="280"/>
      <c r="H5" s="279" t="s">
        <v>267</v>
      </c>
      <c r="I5" s="279" t="s">
        <v>270</v>
      </c>
      <c r="J5" s="279" t="s">
        <v>269</v>
      </c>
      <c r="K5" s="382"/>
      <c r="L5" s="384"/>
    </row>
    <row r="6" spans="2:12" s="285" customFormat="1" ht="21" customHeight="1">
      <c r="B6" s="377" t="s">
        <v>271</v>
      </c>
      <c r="C6" s="281" t="s">
        <v>272</v>
      </c>
      <c r="D6" s="282">
        <v>32</v>
      </c>
      <c r="E6" s="281" t="s">
        <v>273</v>
      </c>
      <c r="F6" s="283">
        <v>4.29</v>
      </c>
      <c r="G6" s="284"/>
      <c r="H6" s="282">
        <v>32</v>
      </c>
      <c r="I6" s="281" t="s">
        <v>274</v>
      </c>
      <c r="J6" s="283">
        <v>1.46</v>
      </c>
      <c r="K6" s="281">
        <v>11</v>
      </c>
      <c r="L6" s="371" t="s">
        <v>275</v>
      </c>
    </row>
    <row r="7" spans="2:12" s="285" customFormat="1" ht="21" customHeight="1">
      <c r="B7" s="378"/>
      <c r="C7" s="281" t="s">
        <v>276</v>
      </c>
      <c r="D7" s="282">
        <v>16</v>
      </c>
      <c r="E7" s="281">
        <v>0</v>
      </c>
      <c r="F7" s="283">
        <v>-4.74</v>
      </c>
      <c r="G7" s="284"/>
      <c r="H7" s="282">
        <v>16</v>
      </c>
      <c r="I7" s="281">
        <v>0</v>
      </c>
      <c r="J7" s="283">
        <v>2.59</v>
      </c>
      <c r="K7" s="281">
        <v>0</v>
      </c>
      <c r="L7" s="372"/>
    </row>
    <row r="8" spans="2:12" s="285" customFormat="1" ht="21" customHeight="1">
      <c r="B8" s="378"/>
      <c r="C8" s="281" t="s">
        <v>277</v>
      </c>
      <c r="D8" s="282">
        <v>17</v>
      </c>
      <c r="E8" s="281">
        <v>0</v>
      </c>
      <c r="F8" s="283">
        <v>0.55000000000000004</v>
      </c>
      <c r="G8" s="284"/>
      <c r="H8" s="282">
        <v>17</v>
      </c>
      <c r="I8" s="281">
        <v>0</v>
      </c>
      <c r="J8" s="283">
        <v>2.69</v>
      </c>
      <c r="K8" s="281">
        <v>0</v>
      </c>
      <c r="L8" s="372"/>
    </row>
    <row r="9" spans="2:12" s="285" customFormat="1" ht="21" customHeight="1">
      <c r="B9" s="378"/>
      <c r="C9" s="281" t="s">
        <v>278</v>
      </c>
      <c r="D9" s="282">
        <v>1</v>
      </c>
      <c r="E9" s="281">
        <v>0</v>
      </c>
      <c r="F9" s="283">
        <v>2.38</v>
      </c>
      <c r="G9" s="284"/>
      <c r="H9" s="282">
        <v>1</v>
      </c>
      <c r="I9" s="281">
        <v>0</v>
      </c>
      <c r="J9" s="283">
        <v>2.42</v>
      </c>
      <c r="K9" s="281">
        <v>0</v>
      </c>
      <c r="L9" s="372"/>
    </row>
    <row r="10" spans="2:12" s="285" customFormat="1" ht="21" customHeight="1">
      <c r="B10" s="378"/>
      <c r="C10" s="281" t="s">
        <v>279</v>
      </c>
      <c r="D10" s="282">
        <v>16</v>
      </c>
      <c r="E10" s="281">
        <v>0</v>
      </c>
      <c r="F10" s="283">
        <v>0.74</v>
      </c>
      <c r="G10" s="284"/>
      <c r="H10" s="282">
        <v>16</v>
      </c>
      <c r="I10" s="281">
        <v>0</v>
      </c>
      <c r="J10" s="283">
        <v>-5.33</v>
      </c>
      <c r="K10" s="281">
        <v>0</v>
      </c>
      <c r="L10" s="372"/>
    </row>
    <row r="11" spans="2:12" s="285" customFormat="1" ht="21" customHeight="1">
      <c r="B11" s="378"/>
      <c r="C11" s="286" t="s">
        <v>251</v>
      </c>
      <c r="D11" s="287">
        <f>SUM(D6:D10)</f>
        <v>82</v>
      </c>
      <c r="E11" s="287" t="s">
        <v>273</v>
      </c>
      <c r="F11" s="288">
        <v>1.69</v>
      </c>
      <c r="G11" s="280"/>
      <c r="H11" s="287">
        <v>82</v>
      </c>
      <c r="I11" s="287" t="s">
        <v>274</v>
      </c>
      <c r="J11" s="288">
        <v>0.48</v>
      </c>
      <c r="K11" s="287">
        <v>11</v>
      </c>
      <c r="L11" s="372"/>
    </row>
    <row r="12" spans="2:12" s="291" customFormat="1" ht="21" customHeight="1" thickBot="1">
      <c r="B12" s="379"/>
      <c r="C12" s="289"/>
      <c r="D12" s="374" t="s">
        <v>280</v>
      </c>
      <c r="E12" s="375"/>
      <c r="F12" s="376"/>
      <c r="G12" s="290"/>
      <c r="H12" s="374" t="s">
        <v>280</v>
      </c>
      <c r="I12" s="375"/>
      <c r="J12" s="376"/>
      <c r="K12" s="290"/>
      <c r="L12" s="373"/>
    </row>
    <row r="13" spans="2:12" s="285" customFormat="1" ht="27.75" customHeight="1">
      <c r="B13" s="380" t="s">
        <v>199</v>
      </c>
      <c r="C13" s="381" t="s">
        <v>262</v>
      </c>
      <c r="D13" s="381" t="str">
        <f>D4</f>
        <v>Q-II- Jul-20 to Sep-20</v>
      </c>
      <c r="E13" s="381"/>
      <c r="F13" s="381"/>
      <c r="G13" s="278"/>
      <c r="H13" s="381" t="str">
        <f>H4</f>
        <v>Q-II- Jul-19 to Sep-19</v>
      </c>
      <c r="I13" s="381"/>
      <c r="J13" s="381"/>
      <c r="K13" s="381" t="s">
        <v>281</v>
      </c>
      <c r="L13" s="383" t="s">
        <v>266</v>
      </c>
    </row>
    <row r="14" spans="2:12" ht="79.5" customHeight="1">
      <c r="B14" s="369"/>
      <c r="C14" s="382"/>
      <c r="D14" s="279" t="s">
        <v>267</v>
      </c>
      <c r="E14" s="279" t="s">
        <v>282</v>
      </c>
      <c r="F14" s="279" t="s">
        <v>269</v>
      </c>
      <c r="G14" s="280"/>
      <c r="H14" s="279" t="s">
        <v>267</v>
      </c>
      <c r="I14" s="279" t="s">
        <v>283</v>
      </c>
      <c r="J14" s="279" t="s">
        <v>269</v>
      </c>
      <c r="K14" s="382"/>
      <c r="L14" s="384"/>
    </row>
    <row r="15" spans="2:12" s="285" customFormat="1" ht="21" customHeight="1">
      <c r="B15" s="377" t="s">
        <v>284</v>
      </c>
      <c r="C15" s="281" t="s">
        <v>272</v>
      </c>
      <c r="D15" s="282">
        <v>19</v>
      </c>
      <c r="E15" s="281">
        <v>0</v>
      </c>
      <c r="F15" s="283">
        <v>9.16</v>
      </c>
      <c r="G15" s="284"/>
      <c r="H15" s="282">
        <v>19</v>
      </c>
      <c r="I15" s="281">
        <v>0</v>
      </c>
      <c r="J15" s="283">
        <v>9.6199999999999992</v>
      </c>
      <c r="K15" s="281">
        <v>0</v>
      </c>
      <c r="L15" s="371" t="s">
        <v>275</v>
      </c>
    </row>
    <row r="16" spans="2:12" s="285" customFormat="1" ht="21" customHeight="1">
      <c r="B16" s="378"/>
      <c r="C16" s="281" t="s">
        <v>276</v>
      </c>
      <c r="D16" s="282">
        <v>253</v>
      </c>
      <c r="E16" s="281">
        <v>0</v>
      </c>
      <c r="F16" s="283">
        <v>6.75</v>
      </c>
      <c r="G16" s="284"/>
      <c r="H16" s="282">
        <v>250</v>
      </c>
      <c r="I16" s="281">
        <v>0</v>
      </c>
      <c r="J16" s="283">
        <v>6.73</v>
      </c>
      <c r="K16" s="281">
        <v>0</v>
      </c>
      <c r="L16" s="372"/>
    </row>
    <row r="17" spans="2:12" s="285" customFormat="1" ht="21" customHeight="1">
      <c r="B17" s="378"/>
      <c r="C17" s="281" t="s">
        <v>277</v>
      </c>
      <c r="D17" s="282">
        <v>47</v>
      </c>
      <c r="E17" s="281">
        <v>0</v>
      </c>
      <c r="F17" s="283">
        <v>7.33</v>
      </c>
      <c r="G17" s="284"/>
      <c r="H17" s="282">
        <v>49</v>
      </c>
      <c r="I17" s="281">
        <v>0</v>
      </c>
      <c r="J17" s="283">
        <v>7.97</v>
      </c>
      <c r="K17" s="281">
        <v>0</v>
      </c>
      <c r="L17" s="372"/>
    </row>
    <row r="18" spans="2:12" s="285" customFormat="1" ht="21" customHeight="1">
      <c r="B18" s="378"/>
      <c r="C18" s="281" t="s">
        <v>278</v>
      </c>
      <c r="D18" s="282">
        <v>36</v>
      </c>
      <c r="E18" s="281">
        <v>0</v>
      </c>
      <c r="F18" s="283">
        <v>10.029999999999999</v>
      </c>
      <c r="G18" s="284"/>
      <c r="H18" s="282">
        <v>35</v>
      </c>
      <c r="I18" s="281">
        <v>0</v>
      </c>
      <c r="J18" s="283">
        <v>8.09</v>
      </c>
      <c r="K18" s="281">
        <v>0</v>
      </c>
      <c r="L18" s="372"/>
    </row>
    <row r="19" spans="2:12" s="285" customFormat="1" ht="21" customHeight="1">
      <c r="B19" s="378"/>
      <c r="C19" s="281" t="s">
        <v>279</v>
      </c>
      <c r="D19" s="282">
        <v>46</v>
      </c>
      <c r="E19" s="281">
        <v>9</v>
      </c>
      <c r="F19" s="283">
        <v>21.13</v>
      </c>
      <c r="G19" s="284"/>
      <c r="H19" s="282">
        <v>44</v>
      </c>
      <c r="I19" s="281" t="s">
        <v>285</v>
      </c>
      <c r="J19" s="283">
        <v>21.39</v>
      </c>
      <c r="K19" s="281">
        <v>5</v>
      </c>
      <c r="L19" s="372"/>
    </row>
    <row r="20" spans="2:12" s="285" customFormat="1" ht="21" customHeight="1">
      <c r="B20" s="378"/>
      <c r="C20" s="292" t="s">
        <v>251</v>
      </c>
      <c r="D20" s="287">
        <f>SUM(D15:D19)</f>
        <v>401</v>
      </c>
      <c r="E20" s="279">
        <v>9</v>
      </c>
      <c r="F20" s="293">
        <v>9.17</v>
      </c>
      <c r="G20" s="280"/>
      <c r="H20" s="279">
        <v>397</v>
      </c>
      <c r="I20" s="279" t="s">
        <v>285</v>
      </c>
      <c r="J20" s="293">
        <v>9.0299999999999994</v>
      </c>
      <c r="K20" s="279">
        <f>SUM(K15:K19)</f>
        <v>5</v>
      </c>
      <c r="L20" s="372"/>
    </row>
    <row r="21" spans="2:12" s="291" customFormat="1" ht="21" customHeight="1" thickBot="1">
      <c r="B21" s="379"/>
      <c r="C21" s="294"/>
      <c r="D21" s="374"/>
      <c r="E21" s="375"/>
      <c r="F21" s="376"/>
      <c r="G21" s="295"/>
      <c r="H21" s="374" t="s">
        <v>280</v>
      </c>
      <c r="I21" s="375"/>
      <c r="J21" s="376"/>
      <c r="K21" s="290"/>
      <c r="L21" s="373"/>
    </row>
    <row r="22" spans="2:12" s="285" customFormat="1" ht="27.75" customHeight="1">
      <c r="B22" s="380" t="s">
        <v>199</v>
      </c>
      <c r="C22" s="381" t="s">
        <v>262</v>
      </c>
      <c r="D22" s="381" t="str">
        <f>D13</f>
        <v>Q-II- Jul-20 to Sep-20</v>
      </c>
      <c r="E22" s="381"/>
      <c r="F22" s="381"/>
      <c r="G22" s="278"/>
      <c r="H22" s="381" t="str">
        <f>H13</f>
        <v>Q-II- Jul-19 to Sep-19</v>
      </c>
      <c r="I22" s="381"/>
      <c r="J22" s="381"/>
      <c r="K22" s="381" t="s">
        <v>286</v>
      </c>
      <c r="L22" s="383" t="s">
        <v>266</v>
      </c>
    </row>
    <row r="23" spans="2:12" ht="79.5" customHeight="1">
      <c r="B23" s="369"/>
      <c r="C23" s="382"/>
      <c r="D23" s="279" t="s">
        <v>267</v>
      </c>
      <c r="E23" s="279" t="s">
        <v>287</v>
      </c>
      <c r="F23" s="279" t="s">
        <v>269</v>
      </c>
      <c r="G23" s="280"/>
      <c r="H23" s="279" t="s">
        <v>267</v>
      </c>
      <c r="I23" s="279" t="s">
        <v>287</v>
      </c>
      <c r="J23" s="279" t="s">
        <v>269</v>
      </c>
      <c r="K23" s="382"/>
      <c r="L23" s="384"/>
    </row>
    <row r="24" spans="2:12" s="285" customFormat="1" ht="21" customHeight="1">
      <c r="B24" s="369" t="s">
        <v>288</v>
      </c>
      <c r="C24" s="281" t="s">
        <v>272</v>
      </c>
      <c r="D24" s="282">
        <v>53</v>
      </c>
      <c r="E24" s="281">
        <v>3</v>
      </c>
      <c r="F24" s="283">
        <v>4.74</v>
      </c>
      <c r="G24" s="284"/>
      <c r="H24" s="282">
        <v>51</v>
      </c>
      <c r="I24" s="281">
        <v>0</v>
      </c>
      <c r="J24" s="283">
        <v>2.08</v>
      </c>
      <c r="K24" s="281">
        <v>3</v>
      </c>
      <c r="L24" s="371" t="s">
        <v>275</v>
      </c>
    </row>
    <row r="25" spans="2:12" s="285" customFormat="1" ht="21" customHeight="1">
      <c r="B25" s="369"/>
      <c r="C25" s="281" t="s">
        <v>276</v>
      </c>
      <c r="D25" s="282">
        <v>3</v>
      </c>
      <c r="E25" s="281">
        <v>0</v>
      </c>
      <c r="F25" s="283">
        <v>-1.0900000000000001</v>
      </c>
      <c r="G25" s="284"/>
      <c r="H25" s="282">
        <v>3</v>
      </c>
      <c r="I25" s="281">
        <v>0</v>
      </c>
      <c r="J25" s="283">
        <v>1.43</v>
      </c>
      <c r="K25" s="281">
        <v>0</v>
      </c>
      <c r="L25" s="372"/>
    </row>
    <row r="26" spans="2:12" s="285" customFormat="1" ht="21" customHeight="1">
      <c r="B26" s="369"/>
      <c r="C26" s="281" t="s">
        <v>277</v>
      </c>
      <c r="D26" s="282">
        <v>5</v>
      </c>
      <c r="E26" s="281">
        <v>0</v>
      </c>
      <c r="F26" s="283">
        <v>3.47</v>
      </c>
      <c r="G26" s="284"/>
      <c r="H26" s="282">
        <v>5</v>
      </c>
      <c r="I26" s="281">
        <v>0</v>
      </c>
      <c r="J26" s="283">
        <v>2.58</v>
      </c>
      <c r="K26" s="281">
        <v>0</v>
      </c>
      <c r="L26" s="372"/>
    </row>
    <row r="27" spans="2:12" s="285" customFormat="1" ht="21" customHeight="1">
      <c r="B27" s="369"/>
      <c r="C27" s="281" t="s">
        <v>278</v>
      </c>
      <c r="D27" s="282">
        <v>12</v>
      </c>
      <c r="E27" s="281" t="s">
        <v>289</v>
      </c>
      <c r="F27" s="283">
        <v>6.7657266765852402</v>
      </c>
      <c r="G27" s="284"/>
      <c r="H27" s="282">
        <v>11</v>
      </c>
      <c r="I27" s="281">
        <v>0</v>
      </c>
      <c r="J27" s="283">
        <v>2.68</v>
      </c>
      <c r="K27" s="281">
        <v>1</v>
      </c>
      <c r="L27" s="372"/>
    </row>
    <row r="28" spans="2:12" s="285" customFormat="1" ht="21" customHeight="1">
      <c r="B28" s="369"/>
      <c r="C28" s="281" t="s">
        <v>279</v>
      </c>
      <c r="D28" s="281">
        <v>38</v>
      </c>
      <c r="E28" s="281">
        <v>1</v>
      </c>
      <c r="F28" s="283">
        <v>-1.2</v>
      </c>
      <c r="G28" s="280"/>
      <c r="H28" s="281">
        <v>37</v>
      </c>
      <c r="I28" s="281">
        <v>0</v>
      </c>
      <c r="J28" s="283">
        <v>0.15</v>
      </c>
      <c r="K28" s="281">
        <v>1</v>
      </c>
      <c r="L28" s="372"/>
    </row>
    <row r="29" spans="2:12" s="285" customFormat="1" ht="21" customHeight="1">
      <c r="B29" s="369"/>
      <c r="C29" s="292" t="s">
        <v>251</v>
      </c>
      <c r="D29" s="287">
        <f>SUM(D24:D28)</f>
        <v>111</v>
      </c>
      <c r="E29" s="279" t="s">
        <v>290</v>
      </c>
      <c r="F29" s="293">
        <v>2.97</v>
      </c>
      <c r="G29" s="296"/>
      <c r="H29" s="279">
        <v>107</v>
      </c>
      <c r="I29" s="279">
        <v>0</v>
      </c>
      <c r="J29" s="293">
        <v>1.57</v>
      </c>
      <c r="K29" s="279">
        <v>5</v>
      </c>
      <c r="L29" s="372"/>
    </row>
    <row r="30" spans="2:12" s="291" customFormat="1" ht="21" customHeight="1" thickBot="1">
      <c r="B30" s="370"/>
      <c r="C30" s="297"/>
      <c r="D30" s="374" t="s">
        <v>280</v>
      </c>
      <c r="E30" s="375"/>
      <c r="F30" s="376"/>
      <c r="G30" s="295"/>
      <c r="H30" s="374"/>
      <c r="I30" s="375"/>
      <c r="J30" s="376"/>
      <c r="K30" s="290"/>
      <c r="L30" s="373"/>
    </row>
    <row r="31" spans="2:12" ht="62.25" customHeight="1">
      <c r="B31" s="298"/>
      <c r="C31" s="299"/>
      <c r="D31" s="299"/>
      <c r="E31" s="299"/>
      <c r="F31" s="299"/>
      <c r="G31" s="299"/>
      <c r="H31" s="299"/>
      <c r="I31" s="299"/>
      <c r="J31" s="299"/>
      <c r="K31" s="299"/>
      <c r="L31" s="299"/>
    </row>
    <row r="32" spans="2:12" ht="86.25" customHeight="1"/>
  </sheetData>
  <mergeCells count="32">
    <mergeCell ref="B1:L1"/>
    <mergeCell ref="B3:L3"/>
    <mergeCell ref="B4:B5"/>
    <mergeCell ref="C4:C5"/>
    <mergeCell ref="D4:F4"/>
    <mergeCell ref="H4:J4"/>
    <mergeCell ref="K4:K5"/>
    <mergeCell ref="L4:L5"/>
    <mergeCell ref="B6:B12"/>
    <mergeCell ref="L6:L12"/>
    <mergeCell ref="D12:F12"/>
    <mergeCell ref="H12:J12"/>
    <mergeCell ref="B13:B14"/>
    <mergeCell ref="C13:C14"/>
    <mergeCell ref="D13:F13"/>
    <mergeCell ref="H13:J13"/>
    <mergeCell ref="K13:K14"/>
    <mergeCell ref="L13:L14"/>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s>
  <printOptions horizontalCentered="1" verticalCentered="1"/>
  <pageMargins left="0.7" right="0.7" top="0.75" bottom="0.75" header="0.3" footer="0.3"/>
  <pageSetup paperSize="9" scale="6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SHEET-1</vt:lpstr>
      <vt:lpstr>SHEET-2</vt:lpstr>
      <vt:lpstr>SHEET-3</vt:lpstr>
      <vt:lpstr>SHEET-4</vt:lpstr>
      <vt:lpstr>SHEET-5</vt:lpstr>
      <vt:lpstr>SHEET-6</vt:lpstr>
      <vt:lpstr>SHEET-7</vt:lpstr>
      <vt:lpstr>Sheet1</vt:lpstr>
      <vt:lpstr>T&amp;D</vt:lpstr>
      <vt:lpstr>LAB</vt:lpstr>
      <vt:lpstr>'SHEET-1'!Print_Area</vt:lpstr>
      <vt:lpstr>'SHEET-3'!Print_Area</vt:lpstr>
      <vt:lpstr>'SHEET-4'!Print_Area</vt:lpstr>
      <vt:lpstr>'SHEET-5'!Print_Area</vt:lpstr>
      <vt:lpstr>'SHEET-6'!Print_Area</vt:lpstr>
      <vt:lpstr>'SHEET-7'!Print_Area</vt:lpstr>
      <vt:lpstr>'T&amp;D'!Print_Area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ujparikh3442</cp:lastModifiedBy>
  <cp:lastPrinted>2020-12-19T07:11:48Z</cp:lastPrinted>
  <dcterms:created xsi:type="dcterms:W3CDTF">1996-10-14T23:33:28Z</dcterms:created>
  <dcterms:modified xsi:type="dcterms:W3CDTF">2020-12-19T07:12:17Z</dcterms:modified>
</cp:coreProperties>
</file>